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theme/theme1.xml" ContentType="application/vnd.openxmlformats-officedocument.theme+xml"/>
  <Override PartName="/xl/charts/chart7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1520" windowHeight="5295"/>
  </bookViews>
  <sheets>
    <sheet name="Power Loss" sheetId="1" r:id="rId1"/>
    <sheet name="Efficiency Summary" sheetId="2" r:id="rId2"/>
    <sheet name="Compensation" sheetId="3" r:id="rId3"/>
  </sheets>
  <definedNames>
    <definedName name="_Cap1">Compensation!$M$30</definedName>
    <definedName name="_cap2">Compensation!$M$31</definedName>
    <definedName name="_Cfb1">Compensation!$C$33</definedName>
    <definedName name="_Cfb2">Compensation!$C$34</definedName>
    <definedName name="_res1">Compensation!$M$29</definedName>
    <definedName name="_Rfb1">Compensation!$C$31</definedName>
    <definedName name="_Rfb2">Compensation!$C$32</definedName>
    <definedName name="Cap">'Power Loss'!$B$32</definedName>
    <definedName name="D">'Power Loss'!$F$19</definedName>
    <definedName name="DCR">'Power Loss'!$B$28</definedName>
    <definedName name="Dmax">Compensation!$M$20</definedName>
    <definedName name="EA_BW">Compensation!$M$26</definedName>
    <definedName name="EA_DC">Compensation!$M$23</definedName>
    <definedName name="Efficiency">'Power Loss'!$B$96</definedName>
    <definedName name="ESR">'Power Loss'!$B$33</definedName>
    <definedName name="F0">Compensation!$C$26</definedName>
    <definedName name="Fc">Compensation!$M$28</definedName>
    <definedName name="Fm">Compensation!$A$43</definedName>
    <definedName name="Fs">'Power Loss'!$B$18</definedName>
    <definedName name="Fstart">Compensation!$C$55</definedName>
    <definedName name="Fstep">Compensation!$C$57</definedName>
    <definedName name="Fstop">Compensation!$C$56</definedName>
    <definedName name="Gdo">Compensation!$C$24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Compensation!$C$27</definedName>
    <definedName name="Qn">Compensation!$A$41</definedName>
    <definedName name="Roerr">Compensation!$M$24</definedName>
    <definedName name="Ron_l">'Power Loss'!$B$63</definedName>
    <definedName name="Ron_u">'Power Loss'!$B$46</definedName>
    <definedName name="Rout">'Power Loss'!$F$20</definedName>
    <definedName name="RT">Compensation!$M$20</definedName>
    <definedName name="Se">Compensation!$M$21</definedName>
    <definedName name="Sn">Compensation!$M$22</definedName>
    <definedName name="Step">Compensation!$C$58</definedName>
    <definedName name="Tloss">'Power Loss'!$B$95</definedName>
    <definedName name="VFB">Compensation!$M$25</definedName>
    <definedName name="Vin">'Power Loss'!$B$19</definedName>
    <definedName name="Vout">'Power Loss'!$B$20</definedName>
    <definedName name="wn">Compensation!$A$40</definedName>
  </definedNames>
  <calcPr calcId="145621"/>
</workbook>
</file>

<file path=xl/calcChain.xml><?xml version="1.0" encoding="utf-8"?>
<calcChain xmlns="http://schemas.openxmlformats.org/spreadsheetml/2006/main">
  <c r="A20" i="1" l="1"/>
  <c r="B39" i="1"/>
  <c r="B63" i="1" s="1"/>
  <c r="B36" i="1"/>
  <c r="B46" i="1" s="1"/>
  <c r="H42" i="1" l="1"/>
  <c r="A19" i="1" l="1"/>
  <c r="A27" i="1"/>
  <c r="G37" i="1"/>
  <c r="O29" i="3" l="1"/>
  <c r="C44" i="2"/>
  <c r="A13" i="2"/>
  <c r="D72" i="2" l="1"/>
  <c r="D44" i="2"/>
  <c r="F34" i="1"/>
  <c r="F35" i="1" s="1"/>
  <c r="E72" i="2" l="1"/>
  <c r="H41" i="2" s="1"/>
  <c r="E44" i="2"/>
  <c r="G32" i="1"/>
  <c r="G31" i="1"/>
  <c r="F44" i="2" l="1"/>
  <c r="H13" i="2"/>
  <c r="G44" i="2"/>
  <c r="E32" i="3"/>
  <c r="M22" i="3" l="1"/>
  <c r="C58" i="3" l="1"/>
  <c r="B80" i="3" s="1"/>
  <c r="C80" i="3" s="1"/>
  <c r="A41" i="3"/>
  <c r="M33" i="3"/>
  <c r="M32" i="3"/>
  <c r="C31" i="3"/>
  <c r="C28" i="3"/>
  <c r="C26" i="3"/>
  <c r="C25" i="3"/>
  <c r="B10" i="2"/>
  <c r="B80" i="1"/>
  <c r="B83" i="1" s="1"/>
  <c r="B79" i="1"/>
  <c r="B74" i="1"/>
  <c r="B58" i="1"/>
  <c r="F26" i="1"/>
  <c r="E9" i="2" s="1"/>
  <c r="F20" i="1"/>
  <c r="J263" i="3" s="1"/>
  <c r="C72" i="2" l="1"/>
  <c r="C68" i="2"/>
  <c r="C64" i="2"/>
  <c r="C60" i="2"/>
  <c r="C56" i="2"/>
  <c r="C52" i="2"/>
  <c r="C48" i="2"/>
  <c r="A38" i="2"/>
  <c r="A69" i="2" s="1"/>
  <c r="B69" i="2" s="1"/>
  <c r="A34" i="2"/>
  <c r="A65" i="2" s="1"/>
  <c r="B65" i="2" s="1"/>
  <c r="A30" i="2"/>
  <c r="A61" i="2" s="1"/>
  <c r="B61" i="2" s="1"/>
  <c r="A26" i="2"/>
  <c r="A22" i="2"/>
  <c r="A53" i="2" s="1"/>
  <c r="B53" i="2" s="1"/>
  <c r="A18" i="2"/>
  <c r="A49" i="2" s="1"/>
  <c r="B49" i="2" s="1"/>
  <c r="A14" i="2"/>
  <c r="A45" i="2" s="1"/>
  <c r="B45" i="2" s="1"/>
  <c r="C71" i="2"/>
  <c r="C67" i="2"/>
  <c r="C63" i="2"/>
  <c r="C59" i="2"/>
  <c r="C55" i="2"/>
  <c r="C51" i="2"/>
  <c r="C47" i="2"/>
  <c r="A41" i="2"/>
  <c r="A72" i="2" s="1"/>
  <c r="B72" i="2" s="1"/>
  <c r="A37" i="2"/>
  <c r="A33" i="2"/>
  <c r="A29" i="2"/>
  <c r="A25" i="2"/>
  <c r="A56" i="2" s="1"/>
  <c r="B56" i="2" s="1"/>
  <c r="C70" i="2"/>
  <c r="C66" i="2"/>
  <c r="C62" i="2"/>
  <c r="C58" i="2"/>
  <c r="C54" i="2"/>
  <c r="C50" i="2"/>
  <c r="C46" i="2"/>
  <c r="A40" i="2"/>
  <c r="A71" i="2" s="1"/>
  <c r="B71" i="2" s="1"/>
  <c r="A36" i="2"/>
  <c r="A32" i="2"/>
  <c r="A28" i="2"/>
  <c r="A59" i="2" s="1"/>
  <c r="B59" i="2" s="1"/>
  <c r="A24" i="2"/>
  <c r="A55" i="2" s="1"/>
  <c r="B55" i="2" s="1"/>
  <c r="A20" i="2"/>
  <c r="A16" i="2"/>
  <c r="C69" i="2"/>
  <c r="C65" i="2"/>
  <c r="C61" i="2"/>
  <c r="C57" i="2"/>
  <c r="C53" i="2"/>
  <c r="C49" i="2"/>
  <c r="C45" i="2"/>
  <c r="A39" i="2"/>
  <c r="A35" i="2"/>
  <c r="A66" i="2" s="1"/>
  <c r="B66" i="2" s="1"/>
  <c r="A31" i="2"/>
  <c r="A62" i="2" s="1"/>
  <c r="B62" i="2" s="1"/>
  <c r="A27" i="2"/>
  <c r="A23" i="2"/>
  <c r="A54" i="2" s="1"/>
  <c r="B54" i="2" s="1"/>
  <c r="A19" i="2"/>
  <c r="A50" i="2" s="1"/>
  <c r="B50" i="2" s="1"/>
  <c r="A15" i="2"/>
  <c r="A46" i="2" s="1"/>
  <c r="B46" i="2" s="1"/>
  <c r="A21" i="2"/>
  <c r="A17" i="2"/>
  <c r="A60" i="2"/>
  <c r="B60" i="2" s="1"/>
  <c r="A44" i="2"/>
  <c r="B44" i="2" s="1"/>
  <c r="A58" i="2"/>
  <c r="B58" i="2" s="1"/>
  <c r="A40" i="3"/>
  <c r="E250" i="3" s="1"/>
  <c r="E28" i="1"/>
  <c r="R73" i="3"/>
  <c r="R151" i="3"/>
  <c r="B89" i="1"/>
  <c r="K31" i="1" s="1"/>
  <c r="F27" i="1"/>
  <c r="R89" i="3"/>
  <c r="J173" i="3"/>
  <c r="J109" i="3"/>
  <c r="J205" i="3"/>
  <c r="R130" i="3"/>
  <c r="J237" i="3"/>
  <c r="R65" i="3"/>
  <c r="R81" i="3"/>
  <c r="R98" i="3"/>
  <c r="R119" i="3"/>
  <c r="J141" i="3"/>
  <c r="R162" i="3"/>
  <c r="J189" i="3"/>
  <c r="J221" i="3"/>
  <c r="R69" i="3"/>
  <c r="R85" i="3"/>
  <c r="R103" i="3"/>
  <c r="J125" i="3"/>
  <c r="R146" i="3"/>
  <c r="R167" i="3"/>
  <c r="J197" i="3"/>
  <c r="J229" i="3"/>
  <c r="R77" i="3"/>
  <c r="R93" i="3"/>
  <c r="R114" i="3"/>
  <c r="R135" i="3"/>
  <c r="J157" i="3"/>
  <c r="J181" i="3"/>
  <c r="J213" i="3"/>
  <c r="J249" i="3"/>
  <c r="J66" i="3"/>
  <c r="J74" i="3"/>
  <c r="J82" i="3"/>
  <c r="J90" i="3"/>
  <c r="J99" i="3"/>
  <c r="R109" i="3"/>
  <c r="R120" i="3"/>
  <c r="J131" i="3"/>
  <c r="R141" i="3"/>
  <c r="J147" i="3"/>
  <c r="R157" i="3"/>
  <c r="R168" i="3"/>
  <c r="R189" i="3"/>
  <c r="R213" i="3"/>
  <c r="C24" i="3"/>
  <c r="L259" i="3" s="1"/>
  <c r="R67" i="3"/>
  <c r="R71" i="3"/>
  <c r="R75" i="3"/>
  <c r="R79" i="3"/>
  <c r="R83" i="3"/>
  <c r="R87" i="3"/>
  <c r="R91" i="3"/>
  <c r="R95" i="3"/>
  <c r="J101" i="3"/>
  <c r="R106" i="3"/>
  <c r="R111" i="3"/>
  <c r="J117" i="3"/>
  <c r="R122" i="3"/>
  <c r="R127" i="3"/>
  <c r="J133" i="3"/>
  <c r="R138" i="3"/>
  <c r="R143" i="3"/>
  <c r="J149" i="3"/>
  <c r="R154" i="3"/>
  <c r="R159" i="3"/>
  <c r="J165" i="3"/>
  <c r="R170" i="3"/>
  <c r="J177" i="3"/>
  <c r="J185" i="3"/>
  <c r="J193" i="3"/>
  <c r="J201" i="3"/>
  <c r="J209" i="3"/>
  <c r="J217" i="3"/>
  <c r="J225" i="3"/>
  <c r="J233" i="3"/>
  <c r="J241" i="3"/>
  <c r="J257" i="3"/>
  <c r="J70" i="3"/>
  <c r="J78" i="3"/>
  <c r="J86" i="3"/>
  <c r="J94" i="3"/>
  <c r="R104" i="3"/>
  <c r="J115" i="3"/>
  <c r="R125" i="3"/>
  <c r="R136" i="3"/>
  <c r="R152" i="3"/>
  <c r="J163" i="3"/>
  <c r="R173" i="3"/>
  <c r="R181" i="3"/>
  <c r="R197" i="3"/>
  <c r="R205" i="3"/>
  <c r="R221" i="3"/>
  <c r="R229" i="3"/>
  <c r="R237" i="3"/>
  <c r="J253" i="3"/>
  <c r="J64" i="3"/>
  <c r="J68" i="3"/>
  <c r="J72" i="3"/>
  <c r="J76" i="3"/>
  <c r="J80" i="3"/>
  <c r="J84" i="3"/>
  <c r="J88" i="3"/>
  <c r="J92" i="3"/>
  <c r="R96" i="3"/>
  <c r="R101" i="3"/>
  <c r="J107" i="3"/>
  <c r="R112" i="3"/>
  <c r="R117" i="3"/>
  <c r="J123" i="3"/>
  <c r="R128" i="3"/>
  <c r="R133" i="3"/>
  <c r="J139" i="3"/>
  <c r="R144" i="3"/>
  <c r="R149" i="3"/>
  <c r="J155" i="3"/>
  <c r="R160" i="3"/>
  <c r="R165" i="3"/>
  <c r="J171" i="3"/>
  <c r="R177" i="3"/>
  <c r="R185" i="3"/>
  <c r="R193" i="3"/>
  <c r="R201" i="3"/>
  <c r="R209" i="3"/>
  <c r="R217" i="3"/>
  <c r="R225" i="3"/>
  <c r="R233" i="3"/>
  <c r="J245" i="3"/>
  <c r="J261" i="3"/>
  <c r="R241" i="3"/>
  <c r="R245" i="3"/>
  <c r="R249" i="3"/>
  <c r="R253" i="3"/>
  <c r="R257" i="3"/>
  <c r="R261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J97" i="3"/>
  <c r="R99" i="3"/>
  <c r="R102" i="3"/>
  <c r="J105" i="3"/>
  <c r="R107" i="3"/>
  <c r="R110" i="3"/>
  <c r="J113" i="3"/>
  <c r="R115" i="3"/>
  <c r="R118" i="3"/>
  <c r="J121" i="3"/>
  <c r="R123" i="3"/>
  <c r="R126" i="3"/>
  <c r="J129" i="3"/>
  <c r="R131" i="3"/>
  <c r="R134" i="3"/>
  <c r="J137" i="3"/>
  <c r="R139" i="3"/>
  <c r="R142" i="3"/>
  <c r="J145" i="3"/>
  <c r="R147" i="3"/>
  <c r="R150" i="3"/>
  <c r="J153" i="3"/>
  <c r="R155" i="3"/>
  <c r="R158" i="3"/>
  <c r="J161" i="3"/>
  <c r="R163" i="3"/>
  <c r="R166" i="3"/>
  <c r="J169" i="3"/>
  <c r="R171" i="3"/>
  <c r="J175" i="3"/>
  <c r="J179" i="3"/>
  <c r="J183" i="3"/>
  <c r="J187" i="3"/>
  <c r="J191" i="3"/>
  <c r="J195" i="3"/>
  <c r="J199" i="3"/>
  <c r="J203" i="3"/>
  <c r="J207" i="3"/>
  <c r="J211" i="3"/>
  <c r="J215" i="3"/>
  <c r="J219" i="3"/>
  <c r="J223" i="3"/>
  <c r="J227" i="3"/>
  <c r="J231" i="3"/>
  <c r="J235" i="3"/>
  <c r="J239" i="3"/>
  <c r="J243" i="3"/>
  <c r="J247" i="3"/>
  <c r="J251" i="3"/>
  <c r="J255" i="3"/>
  <c r="J259" i="3"/>
  <c r="R264" i="3"/>
  <c r="R262" i="3"/>
  <c r="R260" i="3"/>
  <c r="R258" i="3"/>
  <c r="R256" i="3"/>
  <c r="R254" i="3"/>
  <c r="R252" i="3"/>
  <c r="R250" i="3"/>
  <c r="R248" i="3"/>
  <c r="R246" i="3"/>
  <c r="R244" i="3"/>
  <c r="R242" i="3"/>
  <c r="R240" i="3"/>
  <c r="R238" i="3"/>
  <c r="R236" i="3"/>
  <c r="R234" i="3"/>
  <c r="R232" i="3"/>
  <c r="R230" i="3"/>
  <c r="R228" i="3"/>
  <c r="R226" i="3"/>
  <c r="R224" i="3"/>
  <c r="R222" i="3"/>
  <c r="R220" i="3"/>
  <c r="R218" i="3"/>
  <c r="R216" i="3"/>
  <c r="R214" i="3"/>
  <c r="R212" i="3"/>
  <c r="R210" i="3"/>
  <c r="R208" i="3"/>
  <c r="R206" i="3"/>
  <c r="R204" i="3"/>
  <c r="R202" i="3"/>
  <c r="R200" i="3"/>
  <c r="R198" i="3"/>
  <c r="R196" i="3"/>
  <c r="R194" i="3"/>
  <c r="R192" i="3"/>
  <c r="R190" i="3"/>
  <c r="R188" i="3"/>
  <c r="R186" i="3"/>
  <c r="R184" i="3"/>
  <c r="R182" i="3"/>
  <c r="R180" i="3"/>
  <c r="R178" i="3"/>
  <c r="R176" i="3"/>
  <c r="R174" i="3"/>
  <c r="J264" i="3"/>
  <c r="J262" i="3"/>
  <c r="J260" i="3"/>
  <c r="J258" i="3"/>
  <c r="J256" i="3"/>
  <c r="J254" i="3"/>
  <c r="J252" i="3"/>
  <c r="J250" i="3"/>
  <c r="J248" i="3"/>
  <c r="J246" i="3"/>
  <c r="J244" i="3"/>
  <c r="J242" i="3"/>
  <c r="J240" i="3"/>
  <c r="J238" i="3"/>
  <c r="J236" i="3"/>
  <c r="J234" i="3"/>
  <c r="J232" i="3"/>
  <c r="J230" i="3"/>
  <c r="J228" i="3"/>
  <c r="J226" i="3"/>
  <c r="J224" i="3"/>
  <c r="J222" i="3"/>
  <c r="J220" i="3"/>
  <c r="J218" i="3"/>
  <c r="J216" i="3"/>
  <c r="J214" i="3"/>
  <c r="J212" i="3"/>
  <c r="J210" i="3"/>
  <c r="J208" i="3"/>
  <c r="J206" i="3"/>
  <c r="J204" i="3"/>
  <c r="J202" i="3"/>
  <c r="J200" i="3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5" i="3"/>
  <c r="R97" i="3"/>
  <c r="R100" i="3"/>
  <c r="J103" i="3"/>
  <c r="R105" i="3"/>
  <c r="R108" i="3"/>
  <c r="J111" i="3"/>
  <c r="R113" i="3"/>
  <c r="R116" i="3"/>
  <c r="J119" i="3"/>
  <c r="R121" i="3"/>
  <c r="R124" i="3"/>
  <c r="J127" i="3"/>
  <c r="R129" i="3"/>
  <c r="R132" i="3"/>
  <c r="J135" i="3"/>
  <c r="R137" i="3"/>
  <c r="R140" i="3"/>
  <c r="J143" i="3"/>
  <c r="R145" i="3"/>
  <c r="R148" i="3"/>
  <c r="J151" i="3"/>
  <c r="R153" i="3"/>
  <c r="R156" i="3"/>
  <c r="J159" i="3"/>
  <c r="R161" i="3"/>
  <c r="R164" i="3"/>
  <c r="J167" i="3"/>
  <c r="R169" i="3"/>
  <c r="R172" i="3"/>
  <c r="R175" i="3"/>
  <c r="R179" i="3"/>
  <c r="R183" i="3"/>
  <c r="R187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B84" i="1"/>
  <c r="B67" i="1"/>
  <c r="B68" i="1"/>
  <c r="F19" i="1"/>
  <c r="B26" i="1" s="1"/>
  <c r="B51" i="1"/>
  <c r="B50" i="1"/>
  <c r="B82" i="1"/>
  <c r="B57" i="1"/>
  <c r="B73" i="1"/>
  <c r="AQ80" i="3"/>
  <c r="AR80" i="3"/>
  <c r="AL80" i="3"/>
  <c r="AM80" i="3" s="1"/>
  <c r="AN80" i="3" s="1"/>
  <c r="AK80" i="3"/>
  <c r="AS80" i="3"/>
  <c r="S80" i="3"/>
  <c r="K80" i="3"/>
  <c r="E80" i="3"/>
  <c r="AJ263" i="3"/>
  <c r="AJ255" i="3"/>
  <c r="AJ240" i="3"/>
  <c r="AJ215" i="3"/>
  <c r="AJ195" i="3"/>
  <c r="AJ192" i="3"/>
  <c r="AJ184" i="3"/>
  <c r="AJ166" i="3"/>
  <c r="AJ162" i="3"/>
  <c r="AJ130" i="3"/>
  <c r="AJ108" i="3"/>
  <c r="AJ101" i="3"/>
  <c r="AJ149" i="3"/>
  <c r="AJ153" i="3"/>
  <c r="E264" i="3"/>
  <c r="D252" i="3"/>
  <c r="E229" i="3"/>
  <c r="E218" i="3"/>
  <c r="D190" i="3"/>
  <c r="E193" i="3"/>
  <c r="D162" i="3"/>
  <c r="D169" i="3"/>
  <c r="D133" i="3"/>
  <c r="D126" i="3"/>
  <c r="E132" i="3"/>
  <c r="E100" i="3"/>
  <c r="E115" i="3"/>
  <c r="D80" i="3"/>
  <c r="E95" i="3"/>
  <c r="B78" i="3"/>
  <c r="C78" i="3" s="1"/>
  <c r="D142" i="3"/>
  <c r="M23" i="3"/>
  <c r="A43" i="3" s="1"/>
  <c r="E133" i="3"/>
  <c r="B264" i="3"/>
  <c r="C264" i="3" s="1"/>
  <c r="B262" i="3"/>
  <c r="C262" i="3" s="1"/>
  <c r="D262" i="3" s="1"/>
  <c r="B263" i="3"/>
  <c r="C263" i="3" s="1"/>
  <c r="B261" i="3"/>
  <c r="C261" i="3" s="1"/>
  <c r="B259" i="3"/>
  <c r="C259" i="3" s="1"/>
  <c r="B256" i="3"/>
  <c r="C256" i="3" s="1"/>
  <c r="E256" i="3" s="1"/>
  <c r="B258" i="3"/>
  <c r="C258" i="3" s="1"/>
  <c r="B253" i="3"/>
  <c r="C253" i="3" s="1"/>
  <c r="B251" i="3"/>
  <c r="C251" i="3" s="1"/>
  <c r="B249" i="3"/>
  <c r="C249" i="3" s="1"/>
  <c r="AJ249" i="3" s="1"/>
  <c r="B260" i="3"/>
  <c r="C260" i="3" s="1"/>
  <c r="B257" i="3"/>
  <c r="C257" i="3" s="1"/>
  <c r="AJ257" i="3" s="1"/>
  <c r="B255" i="3"/>
  <c r="C255" i="3" s="1"/>
  <c r="B254" i="3"/>
  <c r="C254" i="3" s="1"/>
  <c r="D254" i="3" s="1"/>
  <c r="B246" i="3"/>
  <c r="C246" i="3" s="1"/>
  <c r="AJ246" i="3" s="1"/>
  <c r="B244" i="3"/>
  <c r="C244" i="3" s="1"/>
  <c r="E244" i="3" s="1"/>
  <c r="B242" i="3"/>
  <c r="C242" i="3" s="1"/>
  <c r="B240" i="3"/>
  <c r="C240" i="3" s="1"/>
  <c r="D240" i="3" s="1"/>
  <c r="B238" i="3"/>
  <c r="C238" i="3" s="1"/>
  <c r="AJ238" i="3" s="1"/>
  <c r="B236" i="3"/>
  <c r="C236" i="3" s="1"/>
  <c r="B250" i="3"/>
  <c r="C250" i="3" s="1"/>
  <c r="B248" i="3"/>
  <c r="C248" i="3" s="1"/>
  <c r="D248" i="3" s="1"/>
  <c r="B235" i="3"/>
  <c r="C235" i="3" s="1"/>
  <c r="B233" i="3"/>
  <c r="C233" i="3" s="1"/>
  <c r="B231" i="3"/>
  <c r="C231" i="3" s="1"/>
  <c r="B229" i="3"/>
  <c r="C229" i="3" s="1"/>
  <c r="B227" i="3"/>
  <c r="C227" i="3" s="1"/>
  <c r="B225" i="3"/>
  <c r="C225" i="3" s="1"/>
  <c r="B223" i="3"/>
  <c r="C223" i="3" s="1"/>
  <c r="B221" i="3"/>
  <c r="C221" i="3" s="1"/>
  <c r="B219" i="3"/>
  <c r="C219" i="3" s="1"/>
  <c r="B247" i="3"/>
  <c r="C247" i="3" s="1"/>
  <c r="E247" i="3" s="1"/>
  <c r="B245" i="3"/>
  <c r="C245" i="3" s="1"/>
  <c r="B243" i="3"/>
  <c r="C243" i="3" s="1"/>
  <c r="D243" i="3" s="1"/>
  <c r="B252" i="3"/>
  <c r="C252" i="3" s="1"/>
  <c r="B239" i="3"/>
  <c r="C239" i="3" s="1"/>
  <c r="B237" i="3"/>
  <c r="C237" i="3" s="1"/>
  <c r="B234" i="3"/>
  <c r="C234" i="3" s="1"/>
  <c r="B232" i="3"/>
  <c r="C232" i="3" s="1"/>
  <c r="B230" i="3"/>
  <c r="C230" i="3" s="1"/>
  <c r="B228" i="3"/>
  <c r="C228" i="3" s="1"/>
  <c r="B218" i="3"/>
  <c r="C218" i="3" s="1"/>
  <c r="D218" i="3" s="1"/>
  <c r="B216" i="3"/>
  <c r="C216" i="3" s="1"/>
  <c r="AJ216" i="3" s="1"/>
  <c r="B226" i="3"/>
  <c r="C226" i="3" s="1"/>
  <c r="E226" i="3" s="1"/>
  <c r="B224" i="3"/>
  <c r="C224" i="3" s="1"/>
  <c r="B222" i="3"/>
  <c r="C222" i="3" s="1"/>
  <c r="AJ222" i="3" s="1"/>
  <c r="B220" i="3"/>
  <c r="C220" i="3" s="1"/>
  <c r="B214" i="3"/>
  <c r="C214" i="3" s="1"/>
  <c r="B212" i="3"/>
  <c r="C212" i="3" s="1"/>
  <c r="B210" i="3"/>
  <c r="C210" i="3" s="1"/>
  <c r="D210" i="3" s="1"/>
  <c r="B208" i="3"/>
  <c r="C208" i="3" s="1"/>
  <c r="B206" i="3"/>
  <c r="C206" i="3" s="1"/>
  <c r="B215" i="3"/>
  <c r="C215" i="3" s="1"/>
  <c r="B217" i="3"/>
  <c r="C217" i="3" s="1"/>
  <c r="AJ217" i="3" s="1"/>
  <c r="B211" i="3"/>
  <c r="C211" i="3" s="1"/>
  <c r="B205" i="3"/>
  <c r="C205" i="3" s="1"/>
  <c r="AJ205" i="3" s="1"/>
  <c r="B203" i="3"/>
  <c r="C203" i="3" s="1"/>
  <c r="B201" i="3"/>
  <c r="C201" i="3" s="1"/>
  <c r="AJ201" i="3" s="1"/>
  <c r="B199" i="3"/>
  <c r="C199" i="3" s="1"/>
  <c r="B197" i="3"/>
  <c r="C197" i="3" s="1"/>
  <c r="AJ197" i="3" s="1"/>
  <c r="B195" i="3"/>
  <c r="C195" i="3" s="1"/>
  <c r="B193" i="3"/>
  <c r="C193" i="3" s="1"/>
  <c r="AJ193" i="3" s="1"/>
  <c r="B191" i="3"/>
  <c r="C191" i="3" s="1"/>
  <c r="B189" i="3"/>
  <c r="C189" i="3" s="1"/>
  <c r="B241" i="3"/>
  <c r="C241" i="3" s="1"/>
  <c r="B213" i="3"/>
  <c r="C213" i="3" s="1"/>
  <c r="AJ213" i="3" s="1"/>
  <c r="B209" i="3"/>
  <c r="C209" i="3" s="1"/>
  <c r="B204" i="3"/>
  <c r="C204" i="3" s="1"/>
  <c r="B202" i="3"/>
  <c r="C202" i="3" s="1"/>
  <c r="B207" i="3"/>
  <c r="C207" i="3" s="1"/>
  <c r="AJ207" i="3" s="1"/>
  <c r="B200" i="3"/>
  <c r="C200" i="3" s="1"/>
  <c r="AJ200" i="3" s="1"/>
  <c r="B198" i="3"/>
  <c r="C198" i="3" s="1"/>
  <c r="E198" i="3" s="1"/>
  <c r="B196" i="3"/>
  <c r="C196" i="3" s="1"/>
  <c r="B186" i="3"/>
  <c r="C186" i="3" s="1"/>
  <c r="AJ186" i="3" s="1"/>
  <c r="B184" i="3"/>
  <c r="C184" i="3" s="1"/>
  <c r="B194" i="3"/>
  <c r="C194" i="3" s="1"/>
  <c r="E194" i="3" s="1"/>
  <c r="B190" i="3"/>
  <c r="C190" i="3" s="1"/>
  <c r="B182" i="3"/>
  <c r="C182" i="3" s="1"/>
  <c r="E182" i="3" s="1"/>
  <c r="B180" i="3"/>
  <c r="C180" i="3" s="1"/>
  <c r="B178" i="3"/>
  <c r="C178" i="3" s="1"/>
  <c r="B176" i="3"/>
  <c r="C176" i="3" s="1"/>
  <c r="B174" i="3"/>
  <c r="C174" i="3" s="1"/>
  <c r="B172" i="3"/>
  <c r="C172" i="3" s="1"/>
  <c r="B170" i="3"/>
  <c r="C170" i="3" s="1"/>
  <c r="AJ170" i="3" s="1"/>
  <c r="B169" i="3"/>
  <c r="C169" i="3" s="1"/>
  <c r="AJ169" i="3" s="1"/>
  <c r="B167" i="3"/>
  <c r="C167" i="3" s="1"/>
  <c r="E167" i="3" s="1"/>
  <c r="B165" i="3"/>
  <c r="C165" i="3" s="1"/>
  <c r="B163" i="3"/>
  <c r="C163" i="3" s="1"/>
  <c r="B161" i="3"/>
  <c r="C161" i="3" s="1"/>
  <c r="AJ161" i="3" s="1"/>
  <c r="B159" i="3"/>
  <c r="C159" i="3" s="1"/>
  <c r="AJ159" i="3" s="1"/>
  <c r="B157" i="3"/>
  <c r="C157" i="3" s="1"/>
  <c r="B183" i="3"/>
  <c r="C183" i="3" s="1"/>
  <c r="B192" i="3"/>
  <c r="C192" i="3" s="1"/>
  <c r="B188" i="3"/>
  <c r="C188" i="3" s="1"/>
  <c r="D188" i="3" s="1"/>
  <c r="B187" i="3"/>
  <c r="C187" i="3" s="1"/>
  <c r="B185" i="3"/>
  <c r="C185" i="3" s="1"/>
  <c r="B175" i="3"/>
  <c r="C175" i="3" s="1"/>
  <c r="B181" i="3"/>
  <c r="C181" i="3" s="1"/>
  <c r="E181" i="3" s="1"/>
  <c r="B173" i="3"/>
  <c r="C173" i="3" s="1"/>
  <c r="B168" i="3"/>
  <c r="C168" i="3" s="1"/>
  <c r="D168" i="3" s="1"/>
  <c r="B166" i="3"/>
  <c r="C166" i="3" s="1"/>
  <c r="B164" i="3"/>
  <c r="C164" i="3" s="1"/>
  <c r="D164" i="3" s="1"/>
  <c r="B154" i="3"/>
  <c r="C154" i="3" s="1"/>
  <c r="AJ154" i="3" s="1"/>
  <c r="B152" i="3"/>
  <c r="C152" i="3" s="1"/>
  <c r="AJ152" i="3" s="1"/>
  <c r="B150" i="3"/>
  <c r="C150" i="3" s="1"/>
  <c r="B148" i="3"/>
  <c r="C148" i="3" s="1"/>
  <c r="AJ148" i="3" s="1"/>
  <c r="B146" i="3"/>
  <c r="C146" i="3" s="1"/>
  <c r="B144" i="3"/>
  <c r="C144" i="3" s="1"/>
  <c r="B142" i="3"/>
  <c r="C142" i="3" s="1"/>
  <c r="B140" i="3"/>
  <c r="C140" i="3" s="1"/>
  <c r="AJ140" i="3" s="1"/>
  <c r="B138" i="3"/>
  <c r="C138" i="3" s="1"/>
  <c r="AJ138" i="3" s="1"/>
  <c r="B136" i="3"/>
  <c r="C136" i="3" s="1"/>
  <c r="B134" i="3"/>
  <c r="C134" i="3" s="1"/>
  <c r="B132" i="3"/>
  <c r="C132" i="3" s="1"/>
  <c r="AJ132" i="3" s="1"/>
  <c r="B130" i="3"/>
  <c r="C130" i="3" s="1"/>
  <c r="B128" i="3"/>
  <c r="C128" i="3" s="1"/>
  <c r="AJ128" i="3" s="1"/>
  <c r="B126" i="3"/>
  <c r="C126" i="3" s="1"/>
  <c r="B124" i="3"/>
  <c r="C124" i="3" s="1"/>
  <c r="AJ124" i="3" s="1"/>
  <c r="B122" i="3"/>
  <c r="C122" i="3" s="1"/>
  <c r="B120" i="3"/>
  <c r="C120" i="3" s="1"/>
  <c r="D120" i="3" s="1"/>
  <c r="B118" i="3"/>
  <c r="C118" i="3" s="1"/>
  <c r="B116" i="3"/>
  <c r="C116" i="3" s="1"/>
  <c r="AJ116" i="3" s="1"/>
  <c r="B179" i="3"/>
  <c r="C179" i="3" s="1"/>
  <c r="B177" i="3"/>
  <c r="C177" i="3" s="1"/>
  <c r="B162" i="3"/>
  <c r="C162" i="3" s="1"/>
  <c r="B160" i="3"/>
  <c r="C160" i="3" s="1"/>
  <c r="AJ160" i="3" s="1"/>
  <c r="B158" i="3"/>
  <c r="C158" i="3" s="1"/>
  <c r="B156" i="3"/>
  <c r="C156" i="3" s="1"/>
  <c r="B133" i="3"/>
  <c r="C133" i="3" s="1"/>
  <c r="B131" i="3"/>
  <c r="C131" i="3" s="1"/>
  <c r="E131" i="3" s="1"/>
  <c r="B129" i="3"/>
  <c r="C129" i="3" s="1"/>
  <c r="B127" i="3"/>
  <c r="C127" i="3" s="1"/>
  <c r="D127" i="3" s="1"/>
  <c r="B125" i="3"/>
  <c r="C125" i="3" s="1"/>
  <c r="AJ125" i="3" s="1"/>
  <c r="B123" i="3"/>
  <c r="C123" i="3" s="1"/>
  <c r="AJ123" i="3" s="1"/>
  <c r="B121" i="3"/>
  <c r="C121" i="3" s="1"/>
  <c r="B119" i="3"/>
  <c r="C119" i="3" s="1"/>
  <c r="B117" i="3"/>
  <c r="C117" i="3" s="1"/>
  <c r="B115" i="3"/>
  <c r="C115" i="3" s="1"/>
  <c r="AJ115" i="3" s="1"/>
  <c r="B113" i="3"/>
  <c r="C113" i="3" s="1"/>
  <c r="B111" i="3"/>
  <c r="C111" i="3" s="1"/>
  <c r="B109" i="3"/>
  <c r="C109" i="3" s="1"/>
  <c r="B155" i="3"/>
  <c r="C155" i="3" s="1"/>
  <c r="AJ155" i="3" s="1"/>
  <c r="B153" i="3"/>
  <c r="C153" i="3" s="1"/>
  <c r="B151" i="3"/>
  <c r="C151" i="3" s="1"/>
  <c r="B149" i="3"/>
  <c r="C149" i="3" s="1"/>
  <c r="B147" i="3"/>
  <c r="C147" i="3" s="1"/>
  <c r="D147" i="3" s="1"/>
  <c r="B145" i="3"/>
  <c r="C145" i="3" s="1"/>
  <c r="AJ145" i="3" s="1"/>
  <c r="B143" i="3"/>
  <c r="C143" i="3" s="1"/>
  <c r="D143" i="3" s="1"/>
  <c r="B141" i="3"/>
  <c r="C141" i="3" s="1"/>
  <c r="B139" i="3"/>
  <c r="C139" i="3" s="1"/>
  <c r="B137" i="3"/>
  <c r="C137" i="3" s="1"/>
  <c r="B135" i="3"/>
  <c r="C135" i="3" s="1"/>
  <c r="B171" i="3"/>
  <c r="C171" i="3" s="1"/>
  <c r="B114" i="3"/>
  <c r="C114" i="3" s="1"/>
  <c r="E114" i="3" s="1"/>
  <c r="B112" i="3"/>
  <c r="C112" i="3" s="1"/>
  <c r="B110" i="3"/>
  <c r="C110" i="3" s="1"/>
  <c r="AJ110" i="3" s="1"/>
  <c r="B108" i="3"/>
  <c r="C108" i="3" s="1"/>
  <c r="B106" i="3"/>
  <c r="C106" i="3" s="1"/>
  <c r="E106" i="3" s="1"/>
  <c r="B104" i="3"/>
  <c r="C104" i="3" s="1"/>
  <c r="B102" i="3"/>
  <c r="C102" i="3" s="1"/>
  <c r="B100" i="3"/>
  <c r="C100" i="3" s="1"/>
  <c r="B98" i="3"/>
  <c r="C98" i="3" s="1"/>
  <c r="B96" i="3"/>
  <c r="C96" i="3" s="1"/>
  <c r="AJ96" i="3" s="1"/>
  <c r="B94" i="3"/>
  <c r="C94" i="3" s="1"/>
  <c r="D94" i="3" s="1"/>
  <c r="B92" i="3"/>
  <c r="C92" i="3" s="1"/>
  <c r="B90" i="3"/>
  <c r="C90" i="3" s="1"/>
  <c r="AJ90" i="3" s="1"/>
  <c r="B88" i="3"/>
  <c r="C88" i="3" s="1"/>
  <c r="B86" i="3"/>
  <c r="C86" i="3" s="1"/>
  <c r="B84" i="3"/>
  <c r="C84" i="3" s="1"/>
  <c r="B82" i="3"/>
  <c r="C82" i="3" s="1"/>
  <c r="AJ82" i="3" s="1"/>
  <c r="B79" i="3"/>
  <c r="C79" i="3" s="1"/>
  <c r="B77" i="3"/>
  <c r="C77" i="3" s="1"/>
  <c r="E77" i="3" s="1"/>
  <c r="B75" i="3"/>
  <c r="C75" i="3" s="1"/>
  <c r="B73" i="3"/>
  <c r="C73" i="3" s="1"/>
  <c r="D73" i="3" s="1"/>
  <c r="B71" i="3"/>
  <c r="C71" i="3" s="1"/>
  <c r="B69" i="3"/>
  <c r="C69" i="3" s="1"/>
  <c r="D69" i="3" s="1"/>
  <c r="B67" i="3"/>
  <c r="C67" i="3" s="1"/>
  <c r="B65" i="3"/>
  <c r="C65" i="3" s="1"/>
  <c r="B83" i="3"/>
  <c r="C83" i="3" s="1"/>
  <c r="AJ83" i="3" s="1"/>
  <c r="B107" i="3"/>
  <c r="C107" i="3" s="1"/>
  <c r="B105" i="3"/>
  <c r="C105" i="3" s="1"/>
  <c r="B103" i="3"/>
  <c r="C103" i="3" s="1"/>
  <c r="AJ103" i="3" s="1"/>
  <c r="B101" i="3"/>
  <c r="C101" i="3" s="1"/>
  <c r="B99" i="3"/>
  <c r="C99" i="3" s="1"/>
  <c r="AJ99" i="3" s="1"/>
  <c r="B97" i="3"/>
  <c r="C97" i="3" s="1"/>
  <c r="B95" i="3"/>
  <c r="C95" i="3" s="1"/>
  <c r="B93" i="3"/>
  <c r="C93" i="3" s="1"/>
  <c r="B91" i="3"/>
  <c r="C91" i="3" s="1"/>
  <c r="B89" i="3"/>
  <c r="C89" i="3" s="1"/>
  <c r="B87" i="3"/>
  <c r="C87" i="3" s="1"/>
  <c r="E87" i="3" s="1"/>
  <c r="B85" i="3"/>
  <c r="C85" i="3" s="1"/>
  <c r="B81" i="3"/>
  <c r="C81" i="3" s="1"/>
  <c r="D81" i="3" s="1"/>
  <c r="M28" i="3"/>
  <c r="K29" i="3" s="1"/>
  <c r="K31" i="3" s="1"/>
  <c r="B64" i="3"/>
  <c r="C64" i="3" s="1"/>
  <c r="B66" i="3"/>
  <c r="C66" i="3" s="1"/>
  <c r="D67" i="3"/>
  <c r="B68" i="3"/>
  <c r="C68" i="3" s="1"/>
  <c r="AJ68" i="3" s="1"/>
  <c r="B70" i="3"/>
  <c r="C70" i="3" s="1"/>
  <c r="E70" i="3" s="1"/>
  <c r="B72" i="3"/>
  <c r="C72" i="3" s="1"/>
  <c r="B74" i="3"/>
  <c r="C74" i="3" s="1"/>
  <c r="B76" i="3"/>
  <c r="C76" i="3" s="1"/>
  <c r="AJ80" i="3"/>
  <c r="AJ84" i="3"/>
  <c r="AJ88" i="3"/>
  <c r="AJ92" i="3"/>
  <c r="AJ100" i="3"/>
  <c r="AJ104" i="3"/>
  <c r="D150" i="3"/>
  <c r="I10" i="2"/>
  <c r="B88" i="1"/>
  <c r="B93" i="1"/>
  <c r="K32" i="1" s="1"/>
  <c r="B56" i="1"/>
  <c r="AP80" i="3" l="1"/>
  <c r="D75" i="3"/>
  <c r="E84" i="3"/>
  <c r="E108" i="3"/>
  <c r="E141" i="3"/>
  <c r="D149" i="3"/>
  <c r="D117" i="3"/>
  <c r="D134" i="3"/>
  <c r="E166" i="3"/>
  <c r="E196" i="3"/>
  <c r="D241" i="3"/>
  <c r="E215" i="3"/>
  <c r="E237" i="3"/>
  <c r="E251" i="3"/>
  <c r="D100" i="3"/>
  <c r="E103" i="3"/>
  <c r="E92" i="3"/>
  <c r="D118" i="3"/>
  <c r="D141" i="3"/>
  <c r="E184" i="3"/>
  <c r="E224" i="3"/>
  <c r="E245" i="3"/>
  <c r="D264" i="3"/>
  <c r="F264" i="3" s="1"/>
  <c r="D98" i="3"/>
  <c r="E66" i="3"/>
  <c r="E85" i="3"/>
  <c r="E93" i="3"/>
  <c r="E101" i="3"/>
  <c r="E71" i="3"/>
  <c r="D79" i="3"/>
  <c r="D104" i="3"/>
  <c r="D113" i="3"/>
  <c r="E121" i="3"/>
  <c r="E179" i="3"/>
  <c r="E122" i="3"/>
  <c r="E130" i="3"/>
  <c r="D146" i="3"/>
  <c r="D173" i="3"/>
  <c r="D187" i="3"/>
  <c r="E165" i="3"/>
  <c r="E180" i="3"/>
  <c r="E191" i="3"/>
  <c r="E199" i="3"/>
  <c r="D220" i="3"/>
  <c r="E232" i="3"/>
  <c r="E235" i="3"/>
  <c r="E263" i="3"/>
  <c r="D108" i="3"/>
  <c r="F108" i="3" s="1"/>
  <c r="D78" i="3"/>
  <c r="D83" i="3"/>
  <c r="E124" i="3"/>
  <c r="E149" i="3"/>
  <c r="F149" i="3" s="1"/>
  <c r="D181" i="3"/>
  <c r="F181" i="3" s="1"/>
  <c r="G181" i="3" s="1"/>
  <c r="D209" i="3"/>
  <c r="E234" i="3"/>
  <c r="L69" i="2"/>
  <c r="D48" i="2"/>
  <c r="E48" i="2" s="1"/>
  <c r="H17" i="2" s="1"/>
  <c r="D69" i="2"/>
  <c r="E69" i="2" s="1"/>
  <c r="H38" i="2" s="1"/>
  <c r="D47" i="2"/>
  <c r="E47" i="2" s="1"/>
  <c r="H16" i="2" s="1"/>
  <c r="D62" i="2"/>
  <c r="E62" i="2" s="1"/>
  <c r="H31" i="2" s="1"/>
  <c r="D63" i="2"/>
  <c r="E63" i="2" s="1"/>
  <c r="H32" i="2" s="1"/>
  <c r="D53" i="2"/>
  <c r="E53" i="2" s="1"/>
  <c r="A48" i="2"/>
  <c r="B48" i="2" s="1"/>
  <c r="F17" i="2" s="1"/>
  <c r="A64" i="2"/>
  <c r="B64" i="2" s="1"/>
  <c r="F33" i="2" s="1"/>
  <c r="D52" i="2"/>
  <c r="E52" i="2" s="1"/>
  <c r="H21" i="2" s="1"/>
  <c r="D57" i="2"/>
  <c r="E57" i="2" s="1"/>
  <c r="H26" i="2" s="1"/>
  <c r="D51" i="2"/>
  <c r="E51" i="2" s="1"/>
  <c r="H20" i="2" s="1"/>
  <c r="D66" i="2"/>
  <c r="E66" i="2" s="1"/>
  <c r="H35" i="2" s="1"/>
  <c r="D67" i="2"/>
  <c r="E67" i="2" s="1"/>
  <c r="H36" i="2" s="1"/>
  <c r="D56" i="2"/>
  <c r="E56" i="2" s="1"/>
  <c r="H25" i="2" s="1"/>
  <c r="L201" i="3"/>
  <c r="L98" i="3"/>
  <c r="L139" i="3"/>
  <c r="L234" i="3"/>
  <c r="L72" i="2"/>
  <c r="A47" i="2"/>
  <c r="B47" i="2" s="1"/>
  <c r="F16" i="2" s="1"/>
  <c r="A63" i="2"/>
  <c r="B63" i="2" s="1"/>
  <c r="F32" i="2" s="1"/>
  <c r="A57" i="2"/>
  <c r="B57" i="2" s="1"/>
  <c r="F26" i="2" s="1"/>
  <c r="A52" i="2"/>
  <c r="B52" i="2" s="1"/>
  <c r="A68" i="2"/>
  <c r="B68" i="2" s="1"/>
  <c r="N68" i="2" s="1"/>
  <c r="D46" i="2"/>
  <c r="E46" i="2" s="1"/>
  <c r="H15" i="2" s="1"/>
  <c r="D61" i="2"/>
  <c r="E61" i="2" s="1"/>
  <c r="H30" i="2" s="1"/>
  <c r="D54" i="2"/>
  <c r="E54" i="2" s="1"/>
  <c r="H23" i="2" s="1"/>
  <c r="D70" i="2"/>
  <c r="E70" i="2" s="1"/>
  <c r="H39" i="2" s="1"/>
  <c r="D55" i="2"/>
  <c r="E55" i="2" s="1"/>
  <c r="H24" i="2" s="1"/>
  <c r="D71" i="2"/>
  <c r="E71" i="2" s="1"/>
  <c r="H40" i="2" s="1"/>
  <c r="F72" i="2"/>
  <c r="D41" i="2" s="1"/>
  <c r="G72" i="2"/>
  <c r="E41" i="2" s="1"/>
  <c r="D45" i="2"/>
  <c r="E45" i="2" s="1"/>
  <c r="H14" i="2" s="1"/>
  <c r="D60" i="2"/>
  <c r="E60" i="2" s="1"/>
  <c r="H29" i="2" s="1"/>
  <c r="D68" i="2"/>
  <c r="E68" i="2" s="1"/>
  <c r="H37" i="2" s="1"/>
  <c r="L134" i="3"/>
  <c r="L250" i="3"/>
  <c r="A51" i="2"/>
  <c r="B51" i="2" s="1"/>
  <c r="F20" i="2" s="1"/>
  <c r="A67" i="2"/>
  <c r="B67" i="2" s="1"/>
  <c r="F36" i="2" s="1"/>
  <c r="A70" i="2"/>
  <c r="B70" i="2" s="1"/>
  <c r="J70" i="2" s="1"/>
  <c r="D50" i="2"/>
  <c r="E50" i="2" s="1"/>
  <c r="H19" i="2" s="1"/>
  <c r="D65" i="2"/>
  <c r="E65" i="2" s="1"/>
  <c r="H34" i="2" s="1"/>
  <c r="D58" i="2"/>
  <c r="E58" i="2" s="1"/>
  <c r="H27" i="2" s="1"/>
  <c r="D59" i="2"/>
  <c r="E59" i="2" s="1"/>
  <c r="H28" i="2" s="1"/>
  <c r="D49" i="2"/>
  <c r="E49" i="2" s="1"/>
  <c r="H18" i="2" s="1"/>
  <c r="D64" i="2"/>
  <c r="E64" i="2" s="1"/>
  <c r="H33" i="2" s="1"/>
  <c r="F22" i="2"/>
  <c r="F27" i="2"/>
  <c r="F24" i="2"/>
  <c r="F40" i="2"/>
  <c r="F15" i="2"/>
  <c r="F13" i="2"/>
  <c r="G13" i="2"/>
  <c r="F29" i="2"/>
  <c r="L68" i="2"/>
  <c r="F30" i="2"/>
  <c r="F35" i="2"/>
  <c r="F28" i="2"/>
  <c r="F14" i="2"/>
  <c r="F23" i="2"/>
  <c r="F38" i="2"/>
  <c r="F31" i="2"/>
  <c r="L70" i="2"/>
  <c r="L71" i="2"/>
  <c r="F18" i="2"/>
  <c r="F19" i="2"/>
  <c r="F34" i="2"/>
  <c r="F25" i="2"/>
  <c r="F41" i="2"/>
  <c r="G41" i="2"/>
  <c r="B75" i="1"/>
  <c r="L29" i="1" s="1"/>
  <c r="E13" i="2"/>
  <c r="B59" i="1"/>
  <c r="L28" i="1" s="1"/>
  <c r="D13" i="2"/>
  <c r="L148" i="3"/>
  <c r="L205" i="3"/>
  <c r="L260" i="3"/>
  <c r="L106" i="3"/>
  <c r="L169" i="3"/>
  <c r="L217" i="3"/>
  <c r="L162" i="3"/>
  <c r="L93" i="3"/>
  <c r="L174" i="3"/>
  <c r="L231" i="3"/>
  <c r="L88" i="3"/>
  <c r="L112" i="3"/>
  <c r="L137" i="3"/>
  <c r="L129" i="3"/>
  <c r="L158" i="3"/>
  <c r="L157" i="3"/>
  <c r="L172" i="3"/>
  <c r="L184" i="3"/>
  <c r="L219" i="3"/>
  <c r="L227" i="3"/>
  <c r="L114" i="3"/>
  <c r="L80" i="3"/>
  <c r="L101" i="3"/>
  <c r="L141" i="3"/>
  <c r="L182" i="3"/>
  <c r="L238" i="3"/>
  <c r="L242" i="3"/>
  <c r="L263" i="3"/>
  <c r="L79" i="3"/>
  <c r="L92" i="3"/>
  <c r="L118" i="3"/>
  <c r="L155" i="3"/>
  <c r="L211" i="3"/>
  <c r="L210" i="3"/>
  <c r="L249" i="3"/>
  <c r="C27" i="3"/>
  <c r="M261" i="3" s="1"/>
  <c r="L108" i="3"/>
  <c r="L103" i="3"/>
  <c r="L171" i="3"/>
  <c r="L145" i="3"/>
  <c r="L164" i="3"/>
  <c r="L186" i="3"/>
  <c r="L198" i="3"/>
  <c r="L215" i="3"/>
  <c r="L240" i="3"/>
  <c r="L246" i="3"/>
  <c r="L252" i="3"/>
  <c r="L262" i="3"/>
  <c r="L146" i="3"/>
  <c r="L117" i="3"/>
  <c r="L90" i="3"/>
  <c r="L89" i="3"/>
  <c r="L113" i="3"/>
  <c r="L179" i="3"/>
  <c r="L153" i="3"/>
  <c r="L209" i="3"/>
  <c r="L195" i="3"/>
  <c r="L203" i="3"/>
  <c r="L208" i="3"/>
  <c r="L229" i="3"/>
  <c r="L245" i="3"/>
  <c r="L258" i="3"/>
  <c r="L121" i="3"/>
  <c r="L82" i="3"/>
  <c r="L100" i="3"/>
  <c r="L142" i="3"/>
  <c r="L95" i="3"/>
  <c r="L105" i="3"/>
  <c r="L126" i="3"/>
  <c r="L125" i="3"/>
  <c r="L173" i="3"/>
  <c r="L147" i="3"/>
  <c r="L161" i="3"/>
  <c r="L166" i="3"/>
  <c r="L176" i="3"/>
  <c r="L190" i="3"/>
  <c r="L193" i="3"/>
  <c r="L200" i="3"/>
  <c r="L207" i="3"/>
  <c r="L222" i="3"/>
  <c r="L212" i="3"/>
  <c r="L221" i="3"/>
  <c r="L235" i="3"/>
  <c r="L241" i="3"/>
  <c r="L251" i="3"/>
  <c r="L254" i="3"/>
  <c r="L255" i="3"/>
  <c r="L264" i="3"/>
  <c r="L181" i="3"/>
  <c r="L84" i="3"/>
  <c r="L104" i="3"/>
  <c r="L150" i="3"/>
  <c r="L97" i="3"/>
  <c r="L109" i="3"/>
  <c r="L130" i="3"/>
  <c r="L133" i="3"/>
  <c r="L175" i="3"/>
  <c r="L149" i="3"/>
  <c r="L165" i="3"/>
  <c r="L168" i="3"/>
  <c r="L180" i="3"/>
  <c r="L192" i="3"/>
  <c r="L196" i="3"/>
  <c r="L228" i="3"/>
  <c r="L224" i="3"/>
  <c r="L202" i="3"/>
  <c r="L218" i="3"/>
  <c r="L223" i="3"/>
  <c r="L237" i="3"/>
  <c r="L243" i="3"/>
  <c r="L248" i="3"/>
  <c r="L256" i="3"/>
  <c r="L102" i="3"/>
  <c r="L151" i="3"/>
  <c r="L144" i="3"/>
  <c r="L189" i="3"/>
  <c r="L225" i="3"/>
  <c r="B85" i="1"/>
  <c r="L30" i="1"/>
  <c r="F22" i="1"/>
  <c r="B55" i="1" s="1"/>
  <c r="F100" i="3"/>
  <c r="H100" i="3" s="1"/>
  <c r="P71" i="2"/>
  <c r="O71" i="2"/>
  <c r="N71" i="2"/>
  <c r="J71" i="2"/>
  <c r="M71" i="2"/>
  <c r="I71" i="2"/>
  <c r="K71" i="2"/>
  <c r="N69" i="2"/>
  <c r="J69" i="2"/>
  <c r="P69" i="2"/>
  <c r="O69" i="2"/>
  <c r="I69" i="2"/>
  <c r="M69" i="2"/>
  <c r="F18" i="1"/>
  <c r="F17" i="1" s="1"/>
  <c r="F23" i="1"/>
  <c r="B72" i="1" s="1"/>
  <c r="K69" i="2"/>
  <c r="D180" i="3"/>
  <c r="L122" i="3"/>
  <c r="L220" i="3"/>
  <c r="E123" i="3"/>
  <c r="D154" i="3"/>
  <c r="D161" i="3"/>
  <c r="E173" i="3"/>
  <c r="F173" i="3" s="1"/>
  <c r="H173" i="3" s="1"/>
  <c r="E188" i="3"/>
  <c r="F188" i="3" s="1"/>
  <c r="E207" i="3"/>
  <c r="D217" i="3"/>
  <c r="AJ85" i="3"/>
  <c r="AJ114" i="3"/>
  <c r="AJ146" i="3"/>
  <c r="AJ220" i="3"/>
  <c r="AJ248" i="3"/>
  <c r="AO80" i="3"/>
  <c r="L127" i="3"/>
  <c r="L197" i="3"/>
  <c r="L138" i="3"/>
  <c r="D199" i="3"/>
  <c r="D216" i="3"/>
  <c r="E246" i="3"/>
  <c r="L96" i="3"/>
  <c r="L85" i="3"/>
  <c r="L191" i="3"/>
  <c r="L199" i="3"/>
  <c r="L232" i="3"/>
  <c r="D71" i="3"/>
  <c r="L87" i="3"/>
  <c r="L123" i="3"/>
  <c r="L131" i="3"/>
  <c r="L216" i="3"/>
  <c r="L257" i="3"/>
  <c r="E78" i="3"/>
  <c r="E116" i="3"/>
  <c r="D125" i="3"/>
  <c r="E161" i="3"/>
  <c r="E201" i="3"/>
  <c r="D246" i="3"/>
  <c r="D222" i="3"/>
  <c r="D249" i="3"/>
  <c r="E254" i="3"/>
  <c r="F254" i="3" s="1"/>
  <c r="H254" i="3" s="1"/>
  <c r="AJ93" i="3"/>
  <c r="AJ122" i="3"/>
  <c r="AJ187" i="3"/>
  <c r="AJ218" i="3"/>
  <c r="AJ256" i="3"/>
  <c r="AT80" i="3"/>
  <c r="AU80" i="3" s="1"/>
  <c r="F218" i="3"/>
  <c r="G218" i="3" s="1"/>
  <c r="AL76" i="3"/>
  <c r="AM76" i="3" s="1"/>
  <c r="AN76" i="3" s="1"/>
  <c r="AR76" i="3"/>
  <c r="S76" i="3"/>
  <c r="AQ76" i="3"/>
  <c r="AK76" i="3"/>
  <c r="AS76" i="3"/>
  <c r="K76" i="3"/>
  <c r="AL64" i="3"/>
  <c r="AM64" i="3" s="1"/>
  <c r="AN64" i="3" s="1"/>
  <c r="AR64" i="3"/>
  <c r="S64" i="3"/>
  <c r="AK64" i="3"/>
  <c r="AQ64" i="3"/>
  <c r="L64" i="3"/>
  <c r="K64" i="3"/>
  <c r="AS64" i="3"/>
  <c r="AS91" i="3"/>
  <c r="AK91" i="3"/>
  <c r="AQ91" i="3"/>
  <c r="AL91" i="3"/>
  <c r="K91" i="3"/>
  <c r="AR91" i="3"/>
  <c r="S91" i="3"/>
  <c r="AM91" i="3"/>
  <c r="AN91" i="3" s="1"/>
  <c r="AS107" i="3"/>
  <c r="AK107" i="3"/>
  <c r="AQ107" i="3"/>
  <c r="AL107" i="3"/>
  <c r="AM107" i="3" s="1"/>
  <c r="AN107" i="3" s="1"/>
  <c r="K107" i="3"/>
  <c r="AR107" i="3"/>
  <c r="S107" i="3"/>
  <c r="AQ86" i="3"/>
  <c r="S86" i="3"/>
  <c r="AR86" i="3"/>
  <c r="AL86" i="3"/>
  <c r="AM86" i="3" s="1"/>
  <c r="AN86" i="3" s="1"/>
  <c r="K86" i="3"/>
  <c r="AK86" i="3"/>
  <c r="AS86" i="3"/>
  <c r="AQ94" i="3"/>
  <c r="S94" i="3"/>
  <c r="AR94" i="3"/>
  <c r="AL94" i="3"/>
  <c r="AM94" i="3" s="1"/>
  <c r="AN94" i="3" s="1"/>
  <c r="AK94" i="3"/>
  <c r="K94" i="3"/>
  <c r="AS94" i="3"/>
  <c r="AS135" i="3"/>
  <c r="AK135" i="3"/>
  <c r="AL135" i="3"/>
  <c r="AM135" i="3"/>
  <c r="AN135" i="3" s="1"/>
  <c r="S135" i="3"/>
  <c r="K135" i="3"/>
  <c r="AQ135" i="3"/>
  <c r="AR135" i="3"/>
  <c r="AR111" i="3"/>
  <c r="K111" i="3"/>
  <c r="AS111" i="3"/>
  <c r="AK111" i="3"/>
  <c r="S111" i="3"/>
  <c r="AQ111" i="3"/>
  <c r="AL111" i="3"/>
  <c r="AM111" i="3" s="1"/>
  <c r="AN111" i="3" s="1"/>
  <c r="AL119" i="3"/>
  <c r="AM119" i="3" s="1"/>
  <c r="AN119" i="3" s="1"/>
  <c r="AR119" i="3"/>
  <c r="S119" i="3"/>
  <c r="AS119" i="3"/>
  <c r="AQ119" i="3"/>
  <c r="K119" i="3"/>
  <c r="AK119" i="3"/>
  <c r="AQ177" i="3"/>
  <c r="S177" i="3"/>
  <c r="AK177" i="3"/>
  <c r="K177" i="3"/>
  <c r="AL177" i="3"/>
  <c r="AM177" i="3" s="1"/>
  <c r="AN177" i="3" s="1"/>
  <c r="AS177" i="3"/>
  <c r="AR177" i="3"/>
  <c r="AQ136" i="3"/>
  <c r="AM136" i="3"/>
  <c r="AN136" i="3" s="1"/>
  <c r="S136" i="3"/>
  <c r="AR136" i="3"/>
  <c r="K136" i="3"/>
  <c r="AS136" i="3"/>
  <c r="AK136" i="3"/>
  <c r="AL136" i="3"/>
  <c r="AQ144" i="3"/>
  <c r="AM144" i="3"/>
  <c r="AN144" i="3" s="1"/>
  <c r="S144" i="3"/>
  <c r="AR144" i="3"/>
  <c r="K144" i="3"/>
  <c r="AS144" i="3"/>
  <c r="AK144" i="3"/>
  <c r="AL144" i="3"/>
  <c r="AL185" i="3"/>
  <c r="AS185" i="3"/>
  <c r="AK185" i="3"/>
  <c r="AQ185" i="3"/>
  <c r="AM185" i="3"/>
  <c r="AN185" i="3" s="1"/>
  <c r="S185" i="3"/>
  <c r="AR185" i="3"/>
  <c r="K185" i="3"/>
  <c r="AL183" i="3"/>
  <c r="AS183" i="3"/>
  <c r="AK183" i="3"/>
  <c r="AQ183" i="3"/>
  <c r="AM183" i="3"/>
  <c r="AN183" i="3" s="1"/>
  <c r="S183" i="3"/>
  <c r="K183" i="3"/>
  <c r="AR183" i="3"/>
  <c r="AS178" i="3"/>
  <c r="AK178" i="3"/>
  <c r="AR178" i="3"/>
  <c r="S178" i="3"/>
  <c r="AQ178" i="3"/>
  <c r="K178" i="3"/>
  <c r="AL178" i="3"/>
  <c r="AM178" i="3" s="1"/>
  <c r="AN178" i="3" s="1"/>
  <c r="AS204" i="3"/>
  <c r="AK204" i="3"/>
  <c r="AR204" i="3"/>
  <c r="S204" i="3"/>
  <c r="AQ204" i="3"/>
  <c r="K204" i="3"/>
  <c r="AL204" i="3"/>
  <c r="AM204" i="3" s="1"/>
  <c r="AN204" i="3" s="1"/>
  <c r="AR189" i="3"/>
  <c r="K189" i="3"/>
  <c r="AS189" i="3"/>
  <c r="AM189" i="3"/>
  <c r="AN189" i="3" s="1"/>
  <c r="S189" i="3"/>
  <c r="AQ189" i="3"/>
  <c r="AL189" i="3"/>
  <c r="AK189" i="3"/>
  <c r="AS206" i="3"/>
  <c r="AK206" i="3"/>
  <c r="AR206" i="3"/>
  <c r="AL206" i="3"/>
  <c r="AM206" i="3" s="1"/>
  <c r="AN206" i="3" s="1"/>
  <c r="S206" i="3"/>
  <c r="K206" i="3"/>
  <c r="AQ206" i="3"/>
  <c r="AS214" i="3"/>
  <c r="AK214" i="3"/>
  <c r="AR214" i="3"/>
  <c r="AM214" i="3"/>
  <c r="AN214" i="3" s="1"/>
  <c r="S214" i="3"/>
  <c r="AQ214" i="3"/>
  <c r="AL214" i="3"/>
  <c r="K214" i="3"/>
  <c r="AL239" i="3"/>
  <c r="AM239" i="3" s="1"/>
  <c r="AN239" i="3" s="1"/>
  <c r="AQ239" i="3"/>
  <c r="AK239" i="3"/>
  <c r="K239" i="3"/>
  <c r="AR239" i="3"/>
  <c r="S239" i="3"/>
  <c r="AS239" i="3"/>
  <c r="AR233" i="3"/>
  <c r="K233" i="3"/>
  <c r="AQ233" i="3"/>
  <c r="S233" i="3"/>
  <c r="AS233" i="3"/>
  <c r="AK233" i="3"/>
  <c r="AL233" i="3"/>
  <c r="AM233" i="3" s="1"/>
  <c r="AN233" i="3" s="1"/>
  <c r="AR236" i="3"/>
  <c r="K236" i="3"/>
  <c r="AS236" i="3"/>
  <c r="S236" i="3"/>
  <c r="AK236" i="3"/>
  <c r="AL236" i="3"/>
  <c r="AM236" i="3" s="1"/>
  <c r="AN236" i="3" s="1"/>
  <c r="AQ236" i="3"/>
  <c r="AS253" i="3"/>
  <c r="AQ253" i="3"/>
  <c r="S253" i="3"/>
  <c r="AR253" i="3"/>
  <c r="AL253" i="3"/>
  <c r="AM253" i="3" s="1"/>
  <c r="AN253" i="3" s="1"/>
  <c r="K253" i="3"/>
  <c r="AK253" i="3"/>
  <c r="AQ261" i="3"/>
  <c r="S261" i="3"/>
  <c r="AL261" i="3"/>
  <c r="AM261" i="3" s="1"/>
  <c r="AN261" i="3" s="1"/>
  <c r="AR261" i="3"/>
  <c r="K261" i="3"/>
  <c r="AS261" i="3"/>
  <c r="AK261" i="3"/>
  <c r="AJ64" i="3"/>
  <c r="E119" i="3"/>
  <c r="D68" i="3"/>
  <c r="D76" i="3"/>
  <c r="D91" i="3"/>
  <c r="E170" i="3"/>
  <c r="E136" i="3"/>
  <c r="D183" i="3"/>
  <c r="D198" i="3"/>
  <c r="F198" i="3" s="1"/>
  <c r="AJ177" i="3"/>
  <c r="AJ185" i="3"/>
  <c r="AJ206" i="3"/>
  <c r="AJ239" i="3"/>
  <c r="AJ233" i="3"/>
  <c r="K30" i="3"/>
  <c r="K32" i="3" s="1"/>
  <c r="K33" i="3"/>
  <c r="L120" i="3"/>
  <c r="AJ143" i="3"/>
  <c r="L110" i="3"/>
  <c r="D102" i="3"/>
  <c r="D86" i="3"/>
  <c r="AL74" i="3"/>
  <c r="AM74" i="3" s="1"/>
  <c r="AN74" i="3" s="1"/>
  <c r="AR74" i="3"/>
  <c r="S74" i="3"/>
  <c r="AQ74" i="3"/>
  <c r="AK74" i="3"/>
  <c r="L74" i="3"/>
  <c r="K74" i="3"/>
  <c r="AS74" i="3"/>
  <c r="AL70" i="3"/>
  <c r="AM70" i="3" s="1"/>
  <c r="AN70" i="3" s="1"/>
  <c r="AR70" i="3"/>
  <c r="S70" i="3"/>
  <c r="AK70" i="3"/>
  <c r="L70" i="3"/>
  <c r="AQ70" i="3"/>
  <c r="AS70" i="3"/>
  <c r="K70" i="3"/>
  <c r="AL66" i="3"/>
  <c r="AR66" i="3"/>
  <c r="AM66" i="3"/>
  <c r="AN66" i="3" s="1"/>
  <c r="S66" i="3"/>
  <c r="AQ66" i="3"/>
  <c r="AK66" i="3"/>
  <c r="L66" i="3"/>
  <c r="AS66" i="3"/>
  <c r="K66" i="3"/>
  <c r="L81" i="3"/>
  <c r="L170" i="3"/>
  <c r="L178" i="3"/>
  <c r="L194" i="3"/>
  <c r="L185" i="3"/>
  <c r="L206" i="3"/>
  <c r="L214" i="3"/>
  <c r="L253" i="3"/>
  <c r="L261" i="3"/>
  <c r="AS87" i="3"/>
  <c r="AK87" i="3"/>
  <c r="AQ87" i="3"/>
  <c r="AL87" i="3"/>
  <c r="AM87" i="3" s="1"/>
  <c r="AN87" i="3" s="1"/>
  <c r="K87" i="3"/>
  <c r="AR87" i="3"/>
  <c r="S87" i="3"/>
  <c r="AS95" i="3"/>
  <c r="AK95" i="3"/>
  <c r="AQ95" i="3"/>
  <c r="AL95" i="3"/>
  <c r="K95" i="3"/>
  <c r="AR95" i="3"/>
  <c r="S95" i="3"/>
  <c r="AM95" i="3"/>
  <c r="AN95" i="3" s="1"/>
  <c r="AR65" i="3"/>
  <c r="K65" i="3"/>
  <c r="AK65" i="3"/>
  <c r="AS65" i="3"/>
  <c r="S65" i="3"/>
  <c r="AQ65" i="3"/>
  <c r="AL65" i="3"/>
  <c r="AM65" i="3" s="1"/>
  <c r="AN65" i="3" s="1"/>
  <c r="AO65" i="3" s="1"/>
  <c r="L65" i="3"/>
  <c r="AQ82" i="3"/>
  <c r="AM82" i="3"/>
  <c r="AN82" i="3" s="1"/>
  <c r="S82" i="3"/>
  <c r="AR82" i="3"/>
  <c r="AL82" i="3"/>
  <c r="AK82" i="3"/>
  <c r="AP82" i="3" s="1"/>
  <c r="K82" i="3"/>
  <c r="AS82" i="3"/>
  <c r="AQ98" i="3"/>
  <c r="AM98" i="3"/>
  <c r="AN98" i="3" s="1"/>
  <c r="S98" i="3"/>
  <c r="AR98" i="3"/>
  <c r="AL98" i="3"/>
  <c r="AK98" i="3"/>
  <c r="K98" i="3"/>
  <c r="AS98" i="3"/>
  <c r="AS139" i="3"/>
  <c r="AK139" i="3"/>
  <c r="AL139" i="3"/>
  <c r="AM139" i="3" s="1"/>
  <c r="AN139" i="3" s="1"/>
  <c r="S139" i="3"/>
  <c r="K139" i="3"/>
  <c r="AQ139" i="3"/>
  <c r="AR139" i="3"/>
  <c r="D106" i="3"/>
  <c r="F106" i="3" s="1"/>
  <c r="D90" i="3"/>
  <c r="AJ78" i="3"/>
  <c r="D77" i="3"/>
  <c r="F77" i="3" s="1"/>
  <c r="D65" i="3"/>
  <c r="L140" i="3"/>
  <c r="L136" i="3"/>
  <c r="L86" i="3"/>
  <c r="L94" i="3"/>
  <c r="L115" i="3"/>
  <c r="L83" i="3"/>
  <c r="L91" i="3"/>
  <c r="L99" i="3"/>
  <c r="L107" i="3"/>
  <c r="L116" i="3"/>
  <c r="L124" i="3"/>
  <c r="L132" i="3"/>
  <c r="L160" i="3"/>
  <c r="L135" i="3"/>
  <c r="L143" i="3"/>
  <c r="L159" i="3"/>
  <c r="L167" i="3"/>
  <c r="L188" i="3"/>
  <c r="L187" i="3"/>
  <c r="L213" i="3"/>
  <c r="L226" i="3"/>
  <c r="L233" i="3"/>
  <c r="L244" i="3"/>
  <c r="L247" i="3"/>
  <c r="AS89" i="3"/>
  <c r="AK89" i="3"/>
  <c r="AQ89" i="3"/>
  <c r="AL89" i="3"/>
  <c r="AM89" i="3" s="1"/>
  <c r="AN89" i="3" s="1"/>
  <c r="K89" i="3"/>
  <c r="AR89" i="3"/>
  <c r="S89" i="3"/>
  <c r="AS97" i="3"/>
  <c r="AK97" i="3"/>
  <c r="AQ97" i="3"/>
  <c r="AL97" i="3"/>
  <c r="AM97" i="3" s="1"/>
  <c r="AN97" i="3" s="1"/>
  <c r="K97" i="3"/>
  <c r="AR97" i="3"/>
  <c r="S97" i="3"/>
  <c r="AS105" i="3"/>
  <c r="AK105" i="3"/>
  <c r="AQ105" i="3"/>
  <c r="AL105" i="3"/>
  <c r="AM105" i="3" s="1"/>
  <c r="AN105" i="3" s="1"/>
  <c r="K105" i="3"/>
  <c r="AR105" i="3"/>
  <c r="S105" i="3"/>
  <c r="AR67" i="3"/>
  <c r="K67" i="3"/>
  <c r="AK67" i="3"/>
  <c r="S67" i="3"/>
  <c r="AS67" i="3"/>
  <c r="AQ67" i="3"/>
  <c r="AL67" i="3"/>
  <c r="AM67" i="3" s="1"/>
  <c r="AN67" i="3" s="1"/>
  <c r="L67" i="3"/>
  <c r="AR75" i="3"/>
  <c r="K75" i="3"/>
  <c r="AK75" i="3"/>
  <c r="S75" i="3"/>
  <c r="AS75" i="3"/>
  <c r="AQ75" i="3"/>
  <c r="AL75" i="3"/>
  <c r="AM75" i="3" s="1"/>
  <c r="AN75" i="3" s="1"/>
  <c r="L75" i="3"/>
  <c r="AQ84" i="3"/>
  <c r="AM84" i="3"/>
  <c r="AN84" i="3" s="1"/>
  <c r="S84" i="3"/>
  <c r="AR84" i="3"/>
  <c r="AL84" i="3"/>
  <c r="AK84" i="3"/>
  <c r="AP84" i="3" s="1"/>
  <c r="K84" i="3"/>
  <c r="AS84" i="3"/>
  <c r="D84" i="3"/>
  <c r="AQ92" i="3"/>
  <c r="S92" i="3"/>
  <c r="AR92" i="3"/>
  <c r="AL92" i="3"/>
  <c r="AM92" i="3" s="1"/>
  <c r="AN92" i="3" s="1"/>
  <c r="AK92" i="3"/>
  <c r="AP92" i="3" s="1"/>
  <c r="K92" i="3"/>
  <c r="AS92" i="3"/>
  <c r="D92" i="3"/>
  <c r="F92" i="3" s="1"/>
  <c r="AQ100" i="3"/>
  <c r="AM100" i="3"/>
  <c r="AN100" i="3" s="1"/>
  <c r="S100" i="3"/>
  <c r="AR100" i="3"/>
  <c r="AL100" i="3"/>
  <c r="AK100" i="3"/>
  <c r="AP100" i="3" s="1"/>
  <c r="K100" i="3"/>
  <c r="AS100" i="3"/>
  <c r="AL108" i="3"/>
  <c r="AM108" i="3" s="1"/>
  <c r="AN108" i="3" s="1"/>
  <c r="AQ108" i="3"/>
  <c r="S108" i="3"/>
  <c r="AR108" i="3"/>
  <c r="K108" i="3"/>
  <c r="AS108" i="3"/>
  <c r="AK108" i="3"/>
  <c r="AP108" i="3" s="1"/>
  <c r="AQ171" i="3"/>
  <c r="S171" i="3"/>
  <c r="AK171" i="3"/>
  <c r="K171" i="3"/>
  <c r="AR171" i="3"/>
  <c r="AS171" i="3"/>
  <c r="AL171" i="3"/>
  <c r="AM171" i="3" s="1"/>
  <c r="AN171" i="3" s="1"/>
  <c r="AO171" i="3" s="1"/>
  <c r="AS141" i="3"/>
  <c r="AK141" i="3"/>
  <c r="AL141" i="3"/>
  <c r="AM141" i="3" s="1"/>
  <c r="AN141" i="3" s="1"/>
  <c r="S141" i="3"/>
  <c r="K141" i="3"/>
  <c r="AQ141" i="3"/>
  <c r="AR141" i="3"/>
  <c r="AS149" i="3"/>
  <c r="AK149" i="3"/>
  <c r="AP149" i="3" s="1"/>
  <c r="AL149" i="3"/>
  <c r="AM149" i="3" s="1"/>
  <c r="AN149" i="3" s="1"/>
  <c r="S149" i="3"/>
  <c r="K149" i="3"/>
  <c r="AQ149" i="3"/>
  <c r="AR149" i="3"/>
  <c r="AR109" i="3"/>
  <c r="K109" i="3"/>
  <c r="AS109" i="3"/>
  <c r="AK109" i="3"/>
  <c r="S109" i="3"/>
  <c r="AQ109" i="3"/>
  <c r="AL109" i="3"/>
  <c r="AM109" i="3" s="1"/>
  <c r="AN109" i="3" s="1"/>
  <c r="AL117" i="3"/>
  <c r="AR117" i="3"/>
  <c r="AM117" i="3"/>
  <c r="AN117" i="3" s="1"/>
  <c r="S117" i="3"/>
  <c r="AS117" i="3"/>
  <c r="K117" i="3"/>
  <c r="AQ117" i="3"/>
  <c r="AK117" i="3"/>
  <c r="AL125" i="3"/>
  <c r="AR125" i="3"/>
  <c r="AM125" i="3"/>
  <c r="AN125" i="3" s="1"/>
  <c r="S125" i="3"/>
  <c r="AQ125" i="3"/>
  <c r="AK125" i="3"/>
  <c r="AP125" i="3" s="1"/>
  <c r="AS125" i="3"/>
  <c r="K125" i="3"/>
  <c r="AL133" i="3"/>
  <c r="AR133" i="3"/>
  <c r="AM133" i="3"/>
  <c r="AN133" i="3" s="1"/>
  <c r="S133" i="3"/>
  <c r="AQ133" i="3"/>
  <c r="AK133" i="3"/>
  <c r="AS133" i="3"/>
  <c r="K133" i="3"/>
  <c r="AL162" i="3"/>
  <c r="AS162" i="3"/>
  <c r="K162" i="3"/>
  <c r="AK162" i="3"/>
  <c r="AP162" i="3" s="1"/>
  <c r="AR162" i="3"/>
  <c r="S162" i="3"/>
  <c r="AM162" i="3"/>
  <c r="AN162" i="3" s="1"/>
  <c r="AQ162" i="3"/>
  <c r="AR118" i="3"/>
  <c r="K118" i="3"/>
  <c r="AK118" i="3"/>
  <c r="AQ118" i="3"/>
  <c r="AL118" i="3"/>
  <c r="AS118" i="3"/>
  <c r="S118" i="3"/>
  <c r="AM118" i="3"/>
  <c r="AN118" i="3" s="1"/>
  <c r="AR126" i="3"/>
  <c r="K126" i="3"/>
  <c r="AK126" i="3"/>
  <c r="AQ126" i="3"/>
  <c r="AL126" i="3"/>
  <c r="AM126" i="3"/>
  <c r="AN126" i="3" s="1"/>
  <c r="S126" i="3"/>
  <c r="AS126" i="3"/>
  <c r="AQ134" i="3"/>
  <c r="S134" i="3"/>
  <c r="AR134" i="3"/>
  <c r="K134" i="3"/>
  <c r="AS134" i="3"/>
  <c r="AK134" i="3"/>
  <c r="AL134" i="3"/>
  <c r="AM134" i="3" s="1"/>
  <c r="AN134" i="3" s="1"/>
  <c r="AQ142" i="3"/>
  <c r="S142" i="3"/>
  <c r="AR142" i="3"/>
  <c r="K142" i="3"/>
  <c r="AS142" i="3"/>
  <c r="AK142" i="3"/>
  <c r="AL142" i="3"/>
  <c r="AM142" i="3" s="1"/>
  <c r="AN142" i="3" s="1"/>
  <c r="AQ150" i="3"/>
  <c r="S150" i="3"/>
  <c r="AR150" i="3"/>
  <c r="K150" i="3"/>
  <c r="AS150" i="3"/>
  <c r="AK150" i="3"/>
  <c r="AL150" i="3"/>
  <c r="AM150" i="3" s="1"/>
  <c r="AN150" i="3" s="1"/>
  <c r="AL166" i="3"/>
  <c r="AS166" i="3"/>
  <c r="AK166" i="3"/>
  <c r="AP166" i="3" s="1"/>
  <c r="AR166" i="3"/>
  <c r="AM166" i="3"/>
  <c r="AN166" i="3" s="1"/>
  <c r="S166" i="3"/>
  <c r="K166" i="3"/>
  <c r="AQ166" i="3"/>
  <c r="AQ175" i="3"/>
  <c r="S175" i="3"/>
  <c r="AK175" i="3"/>
  <c r="K175" i="3"/>
  <c r="AS175" i="3"/>
  <c r="AL175" i="3"/>
  <c r="AM175" i="3" s="1"/>
  <c r="AN175" i="3" s="1"/>
  <c r="AR175" i="3"/>
  <c r="AL192" i="3"/>
  <c r="K192" i="3"/>
  <c r="AS192" i="3"/>
  <c r="AQ192" i="3"/>
  <c r="AK192" i="3"/>
  <c r="AP192" i="3" s="1"/>
  <c r="AR192" i="3"/>
  <c r="S192" i="3"/>
  <c r="AM192" i="3"/>
  <c r="AN192" i="3" s="1"/>
  <c r="AR161" i="3"/>
  <c r="K161" i="3"/>
  <c r="AQ161" i="3"/>
  <c r="AL161" i="3"/>
  <c r="AM161" i="3" s="1"/>
  <c r="AN161" i="3" s="1"/>
  <c r="AS161" i="3"/>
  <c r="S161" i="3"/>
  <c r="AK161" i="3"/>
  <c r="AP161" i="3" s="1"/>
  <c r="AQ169" i="3"/>
  <c r="S169" i="3"/>
  <c r="AK169" i="3"/>
  <c r="AP169" i="3" s="1"/>
  <c r="K169" i="3"/>
  <c r="AL169" i="3"/>
  <c r="AM169" i="3" s="1"/>
  <c r="AN169" i="3" s="1"/>
  <c r="AR169" i="3"/>
  <c r="AS169" i="3"/>
  <c r="AS176" i="3"/>
  <c r="AK176" i="3"/>
  <c r="AR176" i="3"/>
  <c r="S176" i="3"/>
  <c r="AL176" i="3"/>
  <c r="AM176" i="3" s="1"/>
  <c r="AN176" i="3" s="1"/>
  <c r="K176" i="3"/>
  <c r="AQ176" i="3"/>
  <c r="AL190" i="3"/>
  <c r="K190" i="3"/>
  <c r="AS190" i="3"/>
  <c r="AQ190" i="3"/>
  <c r="AK190" i="3"/>
  <c r="AM190" i="3"/>
  <c r="AN190" i="3" s="1"/>
  <c r="S190" i="3"/>
  <c r="AR190" i="3"/>
  <c r="AL196" i="3"/>
  <c r="AS196" i="3"/>
  <c r="AR196" i="3"/>
  <c r="K196" i="3"/>
  <c r="AM196" i="3"/>
  <c r="AN196" i="3" s="1"/>
  <c r="S196" i="3"/>
  <c r="AQ196" i="3"/>
  <c r="AK196" i="3"/>
  <c r="AS202" i="3"/>
  <c r="AK202" i="3"/>
  <c r="AR202" i="3"/>
  <c r="S202" i="3"/>
  <c r="AL202" i="3"/>
  <c r="AM202" i="3" s="1"/>
  <c r="AN202" i="3" s="1"/>
  <c r="K202" i="3"/>
  <c r="AQ202" i="3"/>
  <c r="AL241" i="3"/>
  <c r="AS241" i="3"/>
  <c r="AK241" i="3"/>
  <c r="AQ241" i="3"/>
  <c r="AM241" i="3"/>
  <c r="AN241" i="3" s="1"/>
  <c r="S241" i="3"/>
  <c r="K241" i="3"/>
  <c r="AR241" i="3"/>
  <c r="AR195" i="3"/>
  <c r="K195" i="3"/>
  <c r="AL195" i="3"/>
  <c r="AM195" i="3" s="1"/>
  <c r="AN195" i="3" s="1"/>
  <c r="AS195" i="3"/>
  <c r="AK195" i="3"/>
  <c r="AP195" i="3" s="1"/>
  <c r="AQ195" i="3"/>
  <c r="S195" i="3"/>
  <c r="AQ203" i="3"/>
  <c r="AM203" i="3"/>
  <c r="AN203" i="3" s="1"/>
  <c r="S203" i="3"/>
  <c r="AR203" i="3"/>
  <c r="AL203" i="3"/>
  <c r="AK203" i="3"/>
  <c r="K203" i="3"/>
  <c r="AS203" i="3"/>
  <c r="AL215" i="3"/>
  <c r="AS215" i="3"/>
  <c r="AK215" i="3"/>
  <c r="AP215" i="3" s="1"/>
  <c r="AQ215" i="3"/>
  <c r="AM215" i="3"/>
  <c r="AN215" i="3" s="1"/>
  <c r="S215" i="3"/>
  <c r="AR215" i="3"/>
  <c r="K215" i="3"/>
  <c r="AS212" i="3"/>
  <c r="AK212" i="3"/>
  <c r="AR212" i="3"/>
  <c r="S212" i="3"/>
  <c r="AQ212" i="3"/>
  <c r="AL212" i="3"/>
  <c r="AM212" i="3" s="1"/>
  <c r="AN212" i="3" s="1"/>
  <c r="K212" i="3"/>
  <c r="AL224" i="3"/>
  <c r="AM224" i="3" s="1"/>
  <c r="AN224" i="3" s="1"/>
  <c r="AS224" i="3"/>
  <c r="AR224" i="3"/>
  <c r="S224" i="3"/>
  <c r="K224" i="3"/>
  <c r="AQ224" i="3"/>
  <c r="AK224" i="3"/>
  <c r="AL228" i="3"/>
  <c r="AM228" i="3" s="1"/>
  <c r="AN228" i="3" s="1"/>
  <c r="AS228" i="3"/>
  <c r="AQ228" i="3"/>
  <c r="S228" i="3"/>
  <c r="AR228" i="3"/>
  <c r="AK228" i="3"/>
  <c r="K228" i="3"/>
  <c r="AL237" i="3"/>
  <c r="AQ237" i="3"/>
  <c r="AK237" i="3"/>
  <c r="K237" i="3"/>
  <c r="AR237" i="3"/>
  <c r="AM237" i="3"/>
  <c r="AN237" i="3" s="1"/>
  <c r="S237" i="3"/>
  <c r="AS237" i="3"/>
  <c r="AL245" i="3"/>
  <c r="AS245" i="3"/>
  <c r="AK245" i="3"/>
  <c r="AQ245" i="3"/>
  <c r="AM245" i="3"/>
  <c r="AN245" i="3" s="1"/>
  <c r="S245" i="3"/>
  <c r="K245" i="3"/>
  <c r="AR245" i="3"/>
  <c r="AR223" i="3"/>
  <c r="K223" i="3"/>
  <c r="AQ223" i="3"/>
  <c r="AL223" i="3"/>
  <c r="AM223" i="3" s="1"/>
  <c r="AN223" i="3" s="1"/>
  <c r="AK223" i="3"/>
  <c r="AS223" i="3"/>
  <c r="S223" i="3"/>
  <c r="AR231" i="3"/>
  <c r="K231" i="3"/>
  <c r="AQ231" i="3"/>
  <c r="S231" i="3"/>
  <c r="AS231" i="3"/>
  <c r="AK231" i="3"/>
  <c r="AL231" i="3"/>
  <c r="AM231" i="3" s="1"/>
  <c r="AN231" i="3" s="1"/>
  <c r="AS250" i="3"/>
  <c r="AK250" i="3"/>
  <c r="AQ250" i="3"/>
  <c r="AL250" i="3"/>
  <c r="AM250" i="3" s="1"/>
  <c r="AN250" i="3" s="1"/>
  <c r="K250" i="3"/>
  <c r="AR250" i="3"/>
  <c r="S250" i="3"/>
  <c r="AR242" i="3"/>
  <c r="K242" i="3"/>
  <c r="AQ242" i="3"/>
  <c r="S242" i="3"/>
  <c r="AS242" i="3"/>
  <c r="AK242" i="3"/>
  <c r="AL242" i="3"/>
  <c r="AM242" i="3" s="1"/>
  <c r="AN242" i="3" s="1"/>
  <c r="AL255" i="3"/>
  <c r="AS255" i="3"/>
  <c r="AK255" i="3"/>
  <c r="AP255" i="3" s="1"/>
  <c r="AQ255" i="3"/>
  <c r="AM255" i="3"/>
  <c r="AN255" i="3" s="1"/>
  <c r="S255" i="3"/>
  <c r="AR255" i="3"/>
  <c r="K255" i="3"/>
  <c r="AQ251" i="3"/>
  <c r="S251" i="3"/>
  <c r="AS251" i="3"/>
  <c r="AR251" i="3"/>
  <c r="AL251" i="3"/>
  <c r="AM251" i="3" s="1"/>
  <c r="AN251" i="3" s="1"/>
  <c r="K251" i="3"/>
  <c r="AK251" i="3"/>
  <c r="AR259" i="3"/>
  <c r="K259" i="3"/>
  <c r="AS259" i="3"/>
  <c r="AM259" i="3"/>
  <c r="AN259" i="3" s="1"/>
  <c r="S259" i="3"/>
  <c r="AQ259" i="3"/>
  <c r="AL259" i="3"/>
  <c r="AK259" i="3"/>
  <c r="AS264" i="3"/>
  <c r="AK264" i="3"/>
  <c r="AR264" i="3"/>
  <c r="K264" i="3"/>
  <c r="AL264" i="3"/>
  <c r="AM264" i="3"/>
  <c r="AN264" i="3" s="1"/>
  <c r="S264" i="3"/>
  <c r="AQ264" i="3"/>
  <c r="AJ106" i="3"/>
  <c r="AJ70" i="3"/>
  <c r="E125" i="3"/>
  <c r="L76" i="3"/>
  <c r="AJ74" i="3"/>
  <c r="AJ66" i="3"/>
  <c r="AJ131" i="3"/>
  <c r="E81" i="3"/>
  <c r="F81" i="3" s="1"/>
  <c r="E109" i="3"/>
  <c r="E127" i="3"/>
  <c r="F127" i="3" s="1"/>
  <c r="D148" i="3"/>
  <c r="D66" i="3"/>
  <c r="D74" i="3"/>
  <c r="D89" i="3"/>
  <c r="D97" i="3"/>
  <c r="D105" i="3"/>
  <c r="E82" i="3"/>
  <c r="E90" i="3"/>
  <c r="E98" i="3"/>
  <c r="D159" i="3"/>
  <c r="E164" i="3"/>
  <c r="F164" i="3" s="1"/>
  <c r="D182" i="3"/>
  <c r="F182" i="3" s="1"/>
  <c r="D116" i="3"/>
  <c r="D124" i="3"/>
  <c r="F124" i="3" s="1"/>
  <c r="D132" i="3"/>
  <c r="F132" i="3" s="1"/>
  <c r="E139" i="3"/>
  <c r="E147" i="3"/>
  <c r="F147" i="3" s="1"/>
  <c r="E155" i="3"/>
  <c r="D115" i="3"/>
  <c r="F115" i="3" s="1"/>
  <c r="D123" i="3"/>
  <c r="D131" i="3"/>
  <c r="F131" i="3" s="1"/>
  <c r="D139" i="3"/>
  <c r="D155" i="3"/>
  <c r="E162" i="3"/>
  <c r="F162" i="3" s="1"/>
  <c r="D186" i="3"/>
  <c r="E142" i="3"/>
  <c r="F142" i="3" s="1"/>
  <c r="E150" i="3"/>
  <c r="F150" i="3" s="1"/>
  <c r="E159" i="3"/>
  <c r="D167" i="3"/>
  <c r="F167" i="3" s="1"/>
  <c r="D178" i="3"/>
  <c r="E202" i="3"/>
  <c r="D171" i="3"/>
  <c r="D179" i="3"/>
  <c r="F179" i="3" s="1"/>
  <c r="D160" i="3"/>
  <c r="E171" i="3"/>
  <c r="E187" i="3"/>
  <c r="E204" i="3"/>
  <c r="D197" i="3"/>
  <c r="D205" i="3"/>
  <c r="D196" i="3"/>
  <c r="D204" i="3"/>
  <c r="F204" i="3" s="1"/>
  <c r="E212" i="3"/>
  <c r="D213" i="3"/>
  <c r="E205" i="3"/>
  <c r="E213" i="3"/>
  <c r="E222" i="3"/>
  <c r="E216" i="3"/>
  <c r="D223" i="3"/>
  <c r="D231" i="3"/>
  <c r="D215" i="3"/>
  <c r="E223" i="3"/>
  <c r="D242" i="3"/>
  <c r="D228" i="3"/>
  <c r="E243" i="3"/>
  <c r="F243" i="3" s="1"/>
  <c r="D239" i="3"/>
  <c r="D247" i="3"/>
  <c r="F247" i="3" s="1"/>
  <c r="D250" i="3"/>
  <c r="F250" i="3" s="1"/>
  <c r="E248" i="3"/>
  <c r="F248" i="3" s="1"/>
  <c r="E249" i="3"/>
  <c r="E257" i="3"/>
  <c r="D255" i="3"/>
  <c r="E262" i="3"/>
  <c r="F262" i="3" s="1"/>
  <c r="E261" i="3"/>
  <c r="AJ119" i="3"/>
  <c r="AJ141" i="3"/>
  <c r="AJ67" i="3"/>
  <c r="AP67" i="3" s="1"/>
  <c r="AJ75" i="3"/>
  <c r="AJ91" i="3"/>
  <c r="AJ107" i="3"/>
  <c r="AJ117" i="3"/>
  <c r="AJ109" i="3"/>
  <c r="AJ178" i="3"/>
  <c r="AJ120" i="3"/>
  <c r="AJ136" i="3"/>
  <c r="AJ144" i="3"/>
  <c r="AJ164" i="3"/>
  <c r="AJ182" i="3"/>
  <c r="AJ175" i="3"/>
  <c r="AJ183" i="3"/>
  <c r="AJ167" i="3"/>
  <c r="AJ190" i="3"/>
  <c r="AP190" i="3" s="1"/>
  <c r="AJ198" i="3"/>
  <c r="AJ212" i="3"/>
  <c r="AJ202" i="3"/>
  <c r="AJ214" i="3"/>
  <c r="AJ226" i="3"/>
  <c r="AJ237" i="3"/>
  <c r="AJ223" i="3"/>
  <c r="AP223" i="3" s="1"/>
  <c r="AJ231" i="3"/>
  <c r="AJ245" i="3"/>
  <c r="AP245" i="3" s="1"/>
  <c r="AJ253" i="3"/>
  <c r="AJ254" i="3"/>
  <c r="AJ261" i="3"/>
  <c r="AJ264" i="3"/>
  <c r="AL72" i="3"/>
  <c r="AR72" i="3"/>
  <c r="AM72" i="3"/>
  <c r="AN72" i="3" s="1"/>
  <c r="S72" i="3"/>
  <c r="AK72" i="3"/>
  <c r="K72" i="3"/>
  <c r="AQ72" i="3"/>
  <c r="L72" i="3"/>
  <c r="AS72" i="3"/>
  <c r="AS81" i="3"/>
  <c r="AK81" i="3"/>
  <c r="AL81" i="3"/>
  <c r="AM81" i="3" s="1"/>
  <c r="AN81" i="3" s="1"/>
  <c r="K81" i="3"/>
  <c r="AQ81" i="3"/>
  <c r="AR81" i="3"/>
  <c r="S81" i="3"/>
  <c r="AR69" i="3"/>
  <c r="K69" i="3"/>
  <c r="AK69" i="3"/>
  <c r="AS69" i="3"/>
  <c r="S69" i="3"/>
  <c r="AM69" i="3"/>
  <c r="AN69" i="3" s="1"/>
  <c r="AQ69" i="3"/>
  <c r="AL69" i="3"/>
  <c r="L69" i="3"/>
  <c r="AQ102" i="3"/>
  <c r="S102" i="3"/>
  <c r="AR102" i="3"/>
  <c r="AL102" i="3"/>
  <c r="AM102" i="3" s="1"/>
  <c r="AN102" i="3" s="1"/>
  <c r="AK102" i="3"/>
  <c r="K102" i="3"/>
  <c r="AS102" i="3"/>
  <c r="AS151" i="3"/>
  <c r="AK151" i="3"/>
  <c r="AL151" i="3"/>
  <c r="AM151" i="3"/>
  <c r="AN151" i="3" s="1"/>
  <c r="S151" i="3"/>
  <c r="K151" i="3"/>
  <c r="AQ151" i="3"/>
  <c r="AR151" i="3"/>
  <c r="AL156" i="3"/>
  <c r="AM156" i="3" s="1"/>
  <c r="AN156" i="3" s="1"/>
  <c r="AS156" i="3"/>
  <c r="K156" i="3"/>
  <c r="AK156" i="3"/>
  <c r="AR156" i="3"/>
  <c r="S156" i="3"/>
  <c r="AQ156" i="3"/>
  <c r="AR128" i="3"/>
  <c r="K128" i="3"/>
  <c r="AK128" i="3"/>
  <c r="AP128" i="3" s="1"/>
  <c r="AQ128" i="3"/>
  <c r="AL128" i="3"/>
  <c r="AM128" i="3" s="1"/>
  <c r="AN128" i="3" s="1"/>
  <c r="AS128" i="3"/>
  <c r="S128" i="3"/>
  <c r="AL168" i="3"/>
  <c r="AM168" i="3" s="1"/>
  <c r="AN168" i="3" s="1"/>
  <c r="AS168" i="3"/>
  <c r="AK168" i="3"/>
  <c r="AR168" i="3"/>
  <c r="S168" i="3"/>
  <c r="K168" i="3"/>
  <c r="AQ168" i="3"/>
  <c r="AR163" i="3"/>
  <c r="K163" i="3"/>
  <c r="AQ163" i="3"/>
  <c r="AL163" i="3"/>
  <c r="AM163" i="3" s="1"/>
  <c r="AN163" i="3" s="1"/>
  <c r="AS163" i="3"/>
  <c r="S163" i="3"/>
  <c r="AK163" i="3"/>
  <c r="AL194" i="3"/>
  <c r="K194" i="3"/>
  <c r="AS194" i="3"/>
  <c r="AQ194" i="3"/>
  <c r="AK194" i="3"/>
  <c r="AM194" i="3"/>
  <c r="AN194" i="3" s="1"/>
  <c r="AR194" i="3"/>
  <c r="AT194" i="3" s="1"/>
  <c r="S194" i="3"/>
  <c r="AQ205" i="3"/>
  <c r="S205" i="3"/>
  <c r="AK205" i="3"/>
  <c r="AP205" i="3" s="1"/>
  <c r="AS205" i="3"/>
  <c r="AL205" i="3"/>
  <c r="AM205" i="3" s="1"/>
  <c r="AN205" i="3" s="1"/>
  <c r="K205" i="3"/>
  <c r="AR205" i="3"/>
  <c r="AL230" i="3"/>
  <c r="AS230" i="3"/>
  <c r="AK230" i="3"/>
  <c r="AQ230" i="3"/>
  <c r="AM230" i="3"/>
  <c r="AN230" i="3" s="1"/>
  <c r="S230" i="3"/>
  <c r="AR230" i="3"/>
  <c r="K230" i="3"/>
  <c r="AR225" i="3"/>
  <c r="K225" i="3"/>
  <c r="AQ225" i="3"/>
  <c r="AL225" i="3"/>
  <c r="AM225" i="3" s="1"/>
  <c r="AN225" i="3" s="1"/>
  <c r="AK225" i="3"/>
  <c r="AS225" i="3"/>
  <c r="S225" i="3"/>
  <c r="AR244" i="3"/>
  <c r="K244" i="3"/>
  <c r="AQ244" i="3"/>
  <c r="S244" i="3"/>
  <c r="AS244" i="3"/>
  <c r="AK244" i="3"/>
  <c r="AL244" i="3"/>
  <c r="AM244" i="3" s="1"/>
  <c r="AN244" i="3" s="1"/>
  <c r="E111" i="3"/>
  <c r="D136" i="3"/>
  <c r="F133" i="3"/>
  <c r="E206" i="3"/>
  <c r="D225" i="3"/>
  <c r="D233" i="3"/>
  <c r="E225" i="3"/>
  <c r="D230" i="3"/>
  <c r="D257" i="3"/>
  <c r="AJ69" i="3"/>
  <c r="AJ230" i="3"/>
  <c r="AJ225" i="3"/>
  <c r="AJ247" i="3"/>
  <c r="L78" i="3"/>
  <c r="L111" i="3"/>
  <c r="L128" i="3"/>
  <c r="L156" i="3"/>
  <c r="L163" i="3"/>
  <c r="L177" i="3"/>
  <c r="L183" i="3"/>
  <c r="L204" i="3"/>
  <c r="L236" i="3"/>
  <c r="L230" i="3"/>
  <c r="L239" i="3"/>
  <c r="AS85" i="3"/>
  <c r="AK85" i="3"/>
  <c r="AQ85" i="3"/>
  <c r="AL85" i="3"/>
  <c r="AM85" i="3" s="1"/>
  <c r="AN85" i="3" s="1"/>
  <c r="K85" i="3"/>
  <c r="AR85" i="3"/>
  <c r="S85" i="3"/>
  <c r="AS93" i="3"/>
  <c r="AK93" i="3"/>
  <c r="AQ93" i="3"/>
  <c r="AL93" i="3"/>
  <c r="AM93" i="3" s="1"/>
  <c r="AN93" i="3" s="1"/>
  <c r="K93" i="3"/>
  <c r="AR93" i="3"/>
  <c r="S93" i="3"/>
  <c r="AS101" i="3"/>
  <c r="AK101" i="3"/>
  <c r="AP101" i="3" s="1"/>
  <c r="AQ101" i="3"/>
  <c r="AL101" i="3"/>
  <c r="AM101" i="3" s="1"/>
  <c r="AN101" i="3" s="1"/>
  <c r="K101" i="3"/>
  <c r="AR101" i="3"/>
  <c r="S101" i="3"/>
  <c r="AS83" i="3"/>
  <c r="AK83" i="3"/>
  <c r="AP83" i="3" s="1"/>
  <c r="AQ83" i="3"/>
  <c r="AL83" i="3"/>
  <c r="AM83" i="3" s="1"/>
  <c r="AN83" i="3" s="1"/>
  <c r="K83" i="3"/>
  <c r="AR83" i="3"/>
  <c r="S83" i="3"/>
  <c r="AR71" i="3"/>
  <c r="K71" i="3"/>
  <c r="AK71" i="3"/>
  <c r="S71" i="3"/>
  <c r="AM71" i="3"/>
  <c r="AN71" i="3" s="1"/>
  <c r="AQ71" i="3"/>
  <c r="AL71" i="3"/>
  <c r="L71" i="3"/>
  <c r="AS71" i="3"/>
  <c r="AR79" i="3"/>
  <c r="K79" i="3"/>
  <c r="AQ79" i="3"/>
  <c r="S79" i="3"/>
  <c r="AL79" i="3"/>
  <c r="AM79" i="3" s="1"/>
  <c r="AN79" i="3" s="1"/>
  <c r="AK79" i="3"/>
  <c r="AS79" i="3"/>
  <c r="AQ88" i="3"/>
  <c r="S88" i="3"/>
  <c r="AR88" i="3"/>
  <c r="AL88" i="3"/>
  <c r="AM88" i="3" s="1"/>
  <c r="AN88" i="3" s="1"/>
  <c r="AK88" i="3"/>
  <c r="AP88" i="3" s="1"/>
  <c r="K88" i="3"/>
  <c r="AS88" i="3"/>
  <c r="D88" i="3"/>
  <c r="AQ96" i="3"/>
  <c r="AM96" i="3"/>
  <c r="AN96" i="3" s="1"/>
  <c r="S96" i="3"/>
  <c r="AR96" i="3"/>
  <c r="AL96" i="3"/>
  <c r="AK96" i="3"/>
  <c r="AP96" i="3" s="1"/>
  <c r="K96" i="3"/>
  <c r="AS96" i="3"/>
  <c r="D96" i="3"/>
  <c r="AQ104" i="3"/>
  <c r="S104" i="3"/>
  <c r="AR104" i="3"/>
  <c r="AL104" i="3"/>
  <c r="AM104" i="3" s="1"/>
  <c r="AN104" i="3" s="1"/>
  <c r="AK104" i="3"/>
  <c r="AP104" i="3" s="1"/>
  <c r="K104" i="3"/>
  <c r="AS104" i="3"/>
  <c r="AL112" i="3"/>
  <c r="AQ112" i="3"/>
  <c r="AM112" i="3"/>
  <c r="AN112" i="3" s="1"/>
  <c r="S112" i="3"/>
  <c r="AR112" i="3"/>
  <c r="AS112" i="3"/>
  <c r="AK112" i="3"/>
  <c r="K112" i="3"/>
  <c r="AS137" i="3"/>
  <c r="AK137" i="3"/>
  <c r="AL137" i="3"/>
  <c r="AM137" i="3" s="1"/>
  <c r="AN137" i="3" s="1"/>
  <c r="S137" i="3"/>
  <c r="K137" i="3"/>
  <c r="AQ137" i="3"/>
  <c r="AR137" i="3"/>
  <c r="AS145" i="3"/>
  <c r="AK145" i="3"/>
  <c r="AP145" i="3" s="1"/>
  <c r="AL145" i="3"/>
  <c r="AM145" i="3" s="1"/>
  <c r="AN145" i="3" s="1"/>
  <c r="S145" i="3"/>
  <c r="K145" i="3"/>
  <c r="AQ145" i="3"/>
  <c r="AR145" i="3"/>
  <c r="AS153" i="3"/>
  <c r="AK153" i="3"/>
  <c r="AP153" i="3" s="1"/>
  <c r="AL153" i="3"/>
  <c r="AM153" i="3" s="1"/>
  <c r="AN153" i="3" s="1"/>
  <c r="S153" i="3"/>
  <c r="K153" i="3"/>
  <c r="AQ153" i="3"/>
  <c r="AR153" i="3"/>
  <c r="AR113" i="3"/>
  <c r="K113" i="3"/>
  <c r="AS113" i="3"/>
  <c r="AK113" i="3"/>
  <c r="AM113" i="3"/>
  <c r="AN113" i="3" s="1"/>
  <c r="S113" i="3"/>
  <c r="AQ113" i="3"/>
  <c r="AL113" i="3"/>
  <c r="AL121" i="3"/>
  <c r="AR121" i="3"/>
  <c r="AM121" i="3"/>
  <c r="AN121" i="3" s="1"/>
  <c r="S121" i="3"/>
  <c r="AS121" i="3"/>
  <c r="AK121" i="3"/>
  <c r="AQ121" i="3"/>
  <c r="K121" i="3"/>
  <c r="AL129" i="3"/>
  <c r="AR129" i="3"/>
  <c r="AM129" i="3"/>
  <c r="AN129" i="3" s="1"/>
  <c r="S129" i="3"/>
  <c r="AQ129" i="3"/>
  <c r="AK129" i="3"/>
  <c r="AS129" i="3"/>
  <c r="K129" i="3"/>
  <c r="AL158" i="3"/>
  <c r="AS158" i="3"/>
  <c r="K158" i="3"/>
  <c r="AK158" i="3"/>
  <c r="AR158" i="3"/>
  <c r="S158" i="3"/>
  <c r="AM158" i="3"/>
  <c r="AN158" i="3" s="1"/>
  <c r="AQ158" i="3"/>
  <c r="AQ179" i="3"/>
  <c r="S179" i="3"/>
  <c r="AK179" i="3"/>
  <c r="K179" i="3"/>
  <c r="AR179" i="3"/>
  <c r="AL179" i="3"/>
  <c r="AM179" i="3" s="1"/>
  <c r="AN179" i="3" s="1"/>
  <c r="AS179" i="3"/>
  <c r="AR122" i="3"/>
  <c r="K122" i="3"/>
  <c r="AK122" i="3"/>
  <c r="AQ122" i="3"/>
  <c r="AL122" i="3"/>
  <c r="AM122" i="3" s="1"/>
  <c r="AN122" i="3" s="1"/>
  <c r="S122" i="3"/>
  <c r="AS122" i="3"/>
  <c r="AR130" i="3"/>
  <c r="K130" i="3"/>
  <c r="AK130" i="3"/>
  <c r="AP130" i="3" s="1"/>
  <c r="AQ130" i="3"/>
  <c r="AL130" i="3"/>
  <c r="AM130" i="3" s="1"/>
  <c r="AN130" i="3" s="1"/>
  <c r="AS130" i="3"/>
  <c r="S130" i="3"/>
  <c r="AQ138" i="3"/>
  <c r="AM138" i="3"/>
  <c r="AN138" i="3" s="1"/>
  <c r="S138" i="3"/>
  <c r="AR138" i="3"/>
  <c r="K138" i="3"/>
  <c r="AS138" i="3"/>
  <c r="AK138" i="3"/>
  <c r="AP138" i="3" s="1"/>
  <c r="AL138" i="3"/>
  <c r="AQ146" i="3"/>
  <c r="AM146" i="3"/>
  <c r="AN146" i="3" s="1"/>
  <c r="S146" i="3"/>
  <c r="AR146" i="3"/>
  <c r="K146" i="3"/>
  <c r="AS146" i="3"/>
  <c r="AK146" i="3"/>
  <c r="AL146" i="3"/>
  <c r="AQ154" i="3"/>
  <c r="AM154" i="3"/>
  <c r="AN154" i="3" s="1"/>
  <c r="S154" i="3"/>
  <c r="AR154" i="3"/>
  <c r="K154" i="3"/>
  <c r="AS154" i="3"/>
  <c r="AK154" i="3"/>
  <c r="AP154" i="3" s="1"/>
  <c r="AL154" i="3"/>
  <c r="AQ173" i="3"/>
  <c r="AM173" i="3"/>
  <c r="AN173" i="3" s="1"/>
  <c r="S173" i="3"/>
  <c r="AK173" i="3"/>
  <c r="K173" i="3"/>
  <c r="AR173" i="3"/>
  <c r="AS173" i="3"/>
  <c r="AL173" i="3"/>
  <c r="AR187" i="3"/>
  <c r="AS187" i="3"/>
  <c r="S187" i="3"/>
  <c r="AQ187" i="3"/>
  <c r="AL187" i="3"/>
  <c r="AM187" i="3" s="1"/>
  <c r="AN187" i="3" s="1"/>
  <c r="AK187" i="3"/>
  <c r="K187" i="3"/>
  <c r="AR157" i="3"/>
  <c r="K157" i="3"/>
  <c r="AQ157" i="3"/>
  <c r="AL157" i="3"/>
  <c r="AS157" i="3"/>
  <c r="AM157" i="3"/>
  <c r="AN157" i="3" s="1"/>
  <c r="S157" i="3"/>
  <c r="AK157" i="3"/>
  <c r="AR165" i="3"/>
  <c r="K165" i="3"/>
  <c r="AQ165" i="3"/>
  <c r="S165" i="3"/>
  <c r="AS165" i="3"/>
  <c r="AK165" i="3"/>
  <c r="AL165" i="3"/>
  <c r="AM165" i="3" s="1"/>
  <c r="AN165" i="3" s="1"/>
  <c r="AS172" i="3"/>
  <c r="AK172" i="3"/>
  <c r="AR172" i="3"/>
  <c r="S172" i="3"/>
  <c r="AQ172" i="3"/>
  <c r="K172" i="3"/>
  <c r="AL172" i="3"/>
  <c r="AM172" i="3" s="1"/>
  <c r="AN172" i="3" s="1"/>
  <c r="AS180" i="3"/>
  <c r="AK180" i="3"/>
  <c r="AR180" i="3"/>
  <c r="S180" i="3"/>
  <c r="AQ180" i="3"/>
  <c r="AL180" i="3"/>
  <c r="AM180" i="3" s="1"/>
  <c r="AN180" i="3" s="1"/>
  <c r="K180" i="3"/>
  <c r="AR184" i="3"/>
  <c r="K184" i="3"/>
  <c r="AQ184" i="3"/>
  <c r="S184" i="3"/>
  <c r="AS184" i="3"/>
  <c r="AK184" i="3"/>
  <c r="AP184" i="3" s="1"/>
  <c r="AL184" i="3"/>
  <c r="AM184" i="3" s="1"/>
  <c r="AN184" i="3" s="1"/>
  <c r="AL200" i="3"/>
  <c r="AM200" i="3" s="1"/>
  <c r="AN200" i="3" s="1"/>
  <c r="AS200" i="3"/>
  <c r="AK200" i="3"/>
  <c r="AP200" i="3" s="1"/>
  <c r="AR200" i="3"/>
  <c r="K200" i="3"/>
  <c r="S200" i="3"/>
  <c r="AQ200" i="3"/>
  <c r="AQ209" i="3"/>
  <c r="AM209" i="3"/>
  <c r="AN209" i="3" s="1"/>
  <c r="S209" i="3"/>
  <c r="AK209" i="3"/>
  <c r="K209" i="3"/>
  <c r="AR209" i="3"/>
  <c r="AS209" i="3"/>
  <c r="AL209" i="3"/>
  <c r="AR191" i="3"/>
  <c r="K191" i="3"/>
  <c r="AS191" i="3"/>
  <c r="S191" i="3"/>
  <c r="AQ191" i="3"/>
  <c r="AL191" i="3"/>
  <c r="AM191" i="3" s="1"/>
  <c r="AN191" i="3" s="1"/>
  <c r="AK191" i="3"/>
  <c r="AR199" i="3"/>
  <c r="K199" i="3"/>
  <c r="AQ199" i="3"/>
  <c r="S199" i="3"/>
  <c r="AL199" i="3"/>
  <c r="AM199" i="3" s="1"/>
  <c r="AN199" i="3" s="1"/>
  <c r="AS199" i="3"/>
  <c r="AK199" i="3"/>
  <c r="AQ211" i="3"/>
  <c r="S211" i="3"/>
  <c r="AK211" i="3"/>
  <c r="K211" i="3"/>
  <c r="AS211" i="3"/>
  <c r="AR211" i="3"/>
  <c r="AL211" i="3"/>
  <c r="AM211" i="3" s="1"/>
  <c r="AN211" i="3" s="1"/>
  <c r="AS208" i="3"/>
  <c r="AK208" i="3"/>
  <c r="AR208" i="3"/>
  <c r="AL208" i="3"/>
  <c r="S208" i="3"/>
  <c r="K208" i="3"/>
  <c r="AQ208" i="3"/>
  <c r="AM208" i="3"/>
  <c r="AN208" i="3" s="1"/>
  <c r="AL220" i="3"/>
  <c r="AM220" i="3" s="1"/>
  <c r="AN220" i="3" s="1"/>
  <c r="AS220" i="3"/>
  <c r="AR220" i="3"/>
  <c r="S220" i="3"/>
  <c r="K220" i="3"/>
  <c r="AQ220" i="3"/>
  <c r="AK220" i="3"/>
  <c r="AR216" i="3"/>
  <c r="K216" i="3"/>
  <c r="AQ216" i="3"/>
  <c r="S216" i="3"/>
  <c r="AS216" i="3"/>
  <c r="AK216" i="3"/>
  <c r="AP216" i="3" s="1"/>
  <c r="AL216" i="3"/>
  <c r="AM216" i="3" s="1"/>
  <c r="AN216" i="3" s="1"/>
  <c r="AL232" i="3"/>
  <c r="AS232" i="3"/>
  <c r="AK232" i="3"/>
  <c r="AQ232" i="3"/>
  <c r="AM232" i="3"/>
  <c r="AN232" i="3" s="1"/>
  <c r="S232" i="3"/>
  <c r="AR232" i="3"/>
  <c r="K232" i="3"/>
  <c r="AS252" i="3"/>
  <c r="AK252" i="3"/>
  <c r="AQ252" i="3"/>
  <c r="AL252" i="3"/>
  <c r="K252" i="3"/>
  <c r="AR252" i="3"/>
  <c r="AM252" i="3"/>
  <c r="AN252" i="3" s="1"/>
  <c r="S252" i="3"/>
  <c r="AR219" i="3"/>
  <c r="K219" i="3"/>
  <c r="AQ219" i="3"/>
  <c r="AL219" i="3"/>
  <c r="AK219" i="3"/>
  <c r="AS219" i="3"/>
  <c r="AM219" i="3"/>
  <c r="AN219" i="3" s="1"/>
  <c r="S219" i="3"/>
  <c r="AR227" i="3"/>
  <c r="K227" i="3"/>
  <c r="AQ227" i="3"/>
  <c r="AL227" i="3"/>
  <c r="AK227" i="3"/>
  <c r="AS227" i="3"/>
  <c r="AM227" i="3"/>
  <c r="AN227" i="3" s="1"/>
  <c r="S227" i="3"/>
  <c r="AL235" i="3"/>
  <c r="AQ235" i="3"/>
  <c r="AK235" i="3"/>
  <c r="K235" i="3"/>
  <c r="S235" i="3"/>
  <c r="AR235" i="3"/>
  <c r="AM235" i="3"/>
  <c r="AN235" i="3" s="1"/>
  <c r="AO235" i="3" s="1"/>
  <c r="AS235" i="3"/>
  <c r="AR238" i="3"/>
  <c r="K238" i="3"/>
  <c r="AS238" i="3"/>
  <c r="S238" i="3"/>
  <c r="AK238" i="3"/>
  <c r="AP238" i="3" s="1"/>
  <c r="AQ238" i="3"/>
  <c r="AL238" i="3"/>
  <c r="AM238" i="3" s="1"/>
  <c r="AN238" i="3" s="1"/>
  <c r="AR246" i="3"/>
  <c r="K246" i="3"/>
  <c r="AQ246" i="3"/>
  <c r="S246" i="3"/>
  <c r="AS246" i="3"/>
  <c r="AK246" i="3"/>
  <c r="AP246" i="3" s="1"/>
  <c r="AL246" i="3"/>
  <c r="AM246" i="3" s="1"/>
  <c r="AN246" i="3" s="1"/>
  <c r="AS260" i="3"/>
  <c r="AK260" i="3"/>
  <c r="AR260" i="3"/>
  <c r="AL260" i="3"/>
  <c r="AM260" i="3"/>
  <c r="AN260" i="3" s="1"/>
  <c r="K260" i="3"/>
  <c r="AQ260" i="3"/>
  <c r="S260" i="3"/>
  <c r="AL258" i="3"/>
  <c r="AM258" i="3" s="1"/>
  <c r="AN258" i="3" s="1"/>
  <c r="K258" i="3"/>
  <c r="AS258" i="3"/>
  <c r="AQ258" i="3"/>
  <c r="AK258" i="3"/>
  <c r="AR258" i="3"/>
  <c r="S258" i="3"/>
  <c r="AQ263" i="3"/>
  <c r="S263" i="3"/>
  <c r="AL263" i="3"/>
  <c r="AM263" i="3" s="1"/>
  <c r="AN263" i="3" s="1"/>
  <c r="AR263" i="3"/>
  <c r="K263" i="3"/>
  <c r="AS263" i="3"/>
  <c r="AK263" i="3"/>
  <c r="AP263" i="3" s="1"/>
  <c r="AJ121" i="3"/>
  <c r="AJ102" i="3"/>
  <c r="E74" i="3"/>
  <c r="AJ76" i="3"/>
  <c r="L119" i="3"/>
  <c r="E83" i="3"/>
  <c r="E75" i="3"/>
  <c r="F75" i="3" s="1"/>
  <c r="E67" i="3"/>
  <c r="F67" i="3" s="1"/>
  <c r="E89" i="3"/>
  <c r="E97" i="3"/>
  <c r="E105" i="3"/>
  <c r="E113" i="3"/>
  <c r="D144" i="3"/>
  <c r="E79" i="3"/>
  <c r="D70" i="3"/>
  <c r="F70" i="3" s="1"/>
  <c r="D85" i="3"/>
  <c r="D93" i="3"/>
  <c r="D101" i="3"/>
  <c r="D109" i="3"/>
  <c r="E129" i="3"/>
  <c r="D172" i="3"/>
  <c r="E86" i="3"/>
  <c r="E94" i="3"/>
  <c r="F94" i="3" s="1"/>
  <c r="E102" i="3"/>
  <c r="E110" i="3"/>
  <c r="E118" i="3"/>
  <c r="E126" i="3"/>
  <c r="F126" i="3" s="1"/>
  <c r="E134" i="3"/>
  <c r="D163" i="3"/>
  <c r="E168" i="3"/>
  <c r="F168" i="3" s="1"/>
  <c r="D112" i="3"/>
  <c r="D128" i="3"/>
  <c r="E135" i="3"/>
  <c r="E143" i="3"/>
  <c r="F143" i="3" s="1"/>
  <c r="E151" i="3"/>
  <c r="D119" i="3"/>
  <c r="D135" i="3"/>
  <c r="F135" i="3" s="1"/>
  <c r="D151" i="3"/>
  <c r="E158" i="3"/>
  <c r="D176" i="3"/>
  <c r="E138" i="3"/>
  <c r="E146" i="3"/>
  <c r="F146" i="3" s="1"/>
  <c r="E154" i="3"/>
  <c r="E163" i="3"/>
  <c r="D170" i="3"/>
  <c r="D189" i="3"/>
  <c r="D175" i="3"/>
  <c r="D156" i="3"/>
  <c r="D191" i="3"/>
  <c r="F191" i="3" s="1"/>
  <c r="E175" i="3"/>
  <c r="E183" i="3"/>
  <c r="E186" i="3"/>
  <c r="E208" i="3"/>
  <c r="E190" i="3"/>
  <c r="F190" i="3" s="1"/>
  <c r="D212" i="3"/>
  <c r="D201" i="3"/>
  <c r="D214" i="3"/>
  <c r="D206" i="3"/>
  <c r="D192" i="3"/>
  <c r="D200" i="3"/>
  <c r="D207" i="3"/>
  <c r="D244" i="3"/>
  <c r="F244" i="3" s="1"/>
  <c r="E209" i="3"/>
  <c r="F209" i="3" s="1"/>
  <c r="E217" i="3"/>
  <c r="D219" i="3"/>
  <c r="D227" i="3"/>
  <c r="D235" i="3"/>
  <c r="F235" i="3" s="1"/>
  <c r="E219" i="3"/>
  <c r="E227" i="3"/>
  <c r="E228" i="3"/>
  <c r="D236" i="3"/>
  <c r="E231" i="3"/>
  <c r="E239" i="3"/>
  <c r="D224" i="3"/>
  <c r="F224" i="3" s="1"/>
  <c r="D232" i="3"/>
  <c r="D251" i="3"/>
  <c r="E252" i="3"/>
  <c r="F252" i="3" s="1"/>
  <c r="E253" i="3"/>
  <c r="E258" i="3"/>
  <c r="D258" i="3"/>
  <c r="D261" i="3"/>
  <c r="E72" i="3"/>
  <c r="AJ133" i="3"/>
  <c r="AP133" i="3" s="1"/>
  <c r="AJ71" i="3"/>
  <c r="AP71" i="3" s="1"/>
  <c r="AJ79" i="3"/>
  <c r="AJ87" i="3"/>
  <c r="AJ95" i="3"/>
  <c r="AJ139" i="3"/>
  <c r="AJ113" i="3"/>
  <c r="AJ156" i="3"/>
  <c r="AJ172" i="3"/>
  <c r="AJ168" i="3"/>
  <c r="AJ171" i="3"/>
  <c r="AJ179" i="3"/>
  <c r="AJ163" i="3"/>
  <c r="AJ194" i="3"/>
  <c r="AJ189" i="3"/>
  <c r="AJ209" i="3"/>
  <c r="AJ232" i="3"/>
  <c r="AP232" i="3" s="1"/>
  <c r="AJ228" i="3"/>
  <c r="AP228" i="3" s="1"/>
  <c r="AJ219" i="3"/>
  <c r="AP219" i="3" s="1"/>
  <c r="AJ227" i="3"/>
  <c r="AJ241" i="3"/>
  <c r="AJ242" i="3"/>
  <c r="AP242" i="3" s="1"/>
  <c r="AJ250" i="3"/>
  <c r="AP250" i="3" s="1"/>
  <c r="AJ258" i="3"/>
  <c r="AJ260" i="3"/>
  <c r="L154" i="3"/>
  <c r="AL68" i="3"/>
  <c r="AM68" i="3" s="1"/>
  <c r="AN68" i="3" s="1"/>
  <c r="AR68" i="3"/>
  <c r="S68" i="3"/>
  <c r="AK68" i="3"/>
  <c r="AP68" i="3" s="1"/>
  <c r="L68" i="3"/>
  <c r="AQ68" i="3"/>
  <c r="AS68" i="3"/>
  <c r="K68" i="3"/>
  <c r="AS99" i="3"/>
  <c r="AK99" i="3"/>
  <c r="AP99" i="3" s="1"/>
  <c r="AQ99" i="3"/>
  <c r="AL99" i="3"/>
  <c r="AM99" i="3" s="1"/>
  <c r="AN99" i="3" s="1"/>
  <c r="K99" i="3"/>
  <c r="AR99" i="3"/>
  <c r="S99" i="3"/>
  <c r="AR77" i="3"/>
  <c r="K77" i="3"/>
  <c r="S77" i="3"/>
  <c r="AQ77" i="3"/>
  <c r="AS77" i="3"/>
  <c r="AL77" i="3"/>
  <c r="AM77" i="3" s="1"/>
  <c r="AN77" i="3" s="1"/>
  <c r="AK77" i="3"/>
  <c r="AL110" i="3"/>
  <c r="AM110" i="3" s="1"/>
  <c r="AN110" i="3" s="1"/>
  <c r="AQ110" i="3"/>
  <c r="S110" i="3"/>
  <c r="AR110" i="3"/>
  <c r="AS110" i="3"/>
  <c r="AK110" i="3"/>
  <c r="AP110" i="3" s="1"/>
  <c r="K110" i="3"/>
  <c r="AS143" i="3"/>
  <c r="AK143" i="3"/>
  <c r="AL143" i="3"/>
  <c r="AM143" i="3" s="1"/>
  <c r="AN143" i="3" s="1"/>
  <c r="S143" i="3"/>
  <c r="K143" i="3"/>
  <c r="AQ143" i="3"/>
  <c r="AR143" i="3"/>
  <c r="AL127" i="3"/>
  <c r="AM127" i="3" s="1"/>
  <c r="AN127" i="3" s="1"/>
  <c r="AR127" i="3"/>
  <c r="S127" i="3"/>
  <c r="AQ127" i="3"/>
  <c r="AK127" i="3"/>
  <c r="AS127" i="3"/>
  <c r="K127" i="3"/>
  <c r="AR120" i="3"/>
  <c r="K120" i="3"/>
  <c r="AK120" i="3"/>
  <c r="AQ120" i="3"/>
  <c r="AL120" i="3"/>
  <c r="AM120" i="3" s="1"/>
  <c r="AN120" i="3" s="1"/>
  <c r="AS120" i="3"/>
  <c r="S120" i="3"/>
  <c r="AQ152" i="3"/>
  <c r="S152" i="3"/>
  <c r="AR152" i="3"/>
  <c r="K152" i="3"/>
  <c r="AS152" i="3"/>
  <c r="AK152" i="3"/>
  <c r="AP152" i="3" s="1"/>
  <c r="AL152" i="3"/>
  <c r="AM152" i="3" s="1"/>
  <c r="AN152" i="3" s="1"/>
  <c r="AS170" i="3"/>
  <c r="AK170" i="3"/>
  <c r="AP170" i="3" s="1"/>
  <c r="AR170" i="3"/>
  <c r="S170" i="3"/>
  <c r="AQ170" i="3"/>
  <c r="AL170" i="3"/>
  <c r="AM170" i="3" s="1"/>
  <c r="AN170" i="3" s="1"/>
  <c r="AO170" i="3" s="1"/>
  <c r="K170" i="3"/>
  <c r="AL198" i="3"/>
  <c r="AM198" i="3" s="1"/>
  <c r="AN198" i="3" s="1"/>
  <c r="AS198" i="3"/>
  <c r="AK198" i="3"/>
  <c r="AR198" i="3"/>
  <c r="K198" i="3"/>
  <c r="S198" i="3"/>
  <c r="AQ198" i="3"/>
  <c r="AR197" i="3"/>
  <c r="K197" i="3"/>
  <c r="AQ197" i="3"/>
  <c r="S197" i="3"/>
  <c r="AL197" i="3"/>
  <c r="AM197" i="3" s="1"/>
  <c r="AN197" i="3" s="1"/>
  <c r="AS197" i="3"/>
  <c r="AK197" i="3"/>
  <c r="AP197" i="3" s="1"/>
  <c r="AL226" i="3"/>
  <c r="AM226" i="3" s="1"/>
  <c r="AN226" i="3" s="1"/>
  <c r="AS226" i="3"/>
  <c r="AR226" i="3"/>
  <c r="S226" i="3"/>
  <c r="K226" i="3"/>
  <c r="AK226" i="3"/>
  <c r="AQ226" i="3"/>
  <c r="AS247" i="3"/>
  <c r="AK247" i="3"/>
  <c r="AR247" i="3"/>
  <c r="S247" i="3"/>
  <c r="AQ247" i="3"/>
  <c r="AL247" i="3"/>
  <c r="AM247" i="3" s="1"/>
  <c r="AN247" i="3" s="1"/>
  <c r="AO247" i="3" s="1"/>
  <c r="K247" i="3"/>
  <c r="AL257" i="3"/>
  <c r="AM257" i="3" s="1"/>
  <c r="AN257" i="3" s="1"/>
  <c r="AS257" i="3"/>
  <c r="AK257" i="3"/>
  <c r="AP257" i="3" s="1"/>
  <c r="AQ257" i="3"/>
  <c r="S257" i="3"/>
  <c r="AR257" i="3"/>
  <c r="AT257" i="3" s="1"/>
  <c r="K257" i="3"/>
  <c r="AL78" i="3"/>
  <c r="AM78" i="3" s="1"/>
  <c r="AN78" i="3" s="1"/>
  <c r="AS78" i="3"/>
  <c r="AK78" i="3"/>
  <c r="AR78" i="3"/>
  <c r="AQ78" i="3"/>
  <c r="S78" i="3"/>
  <c r="K78" i="3"/>
  <c r="E69" i="3"/>
  <c r="F69" i="3" s="1"/>
  <c r="D99" i="3"/>
  <c r="D107" i="3"/>
  <c r="D110" i="3"/>
  <c r="E156" i="3"/>
  <c r="E144" i="3"/>
  <c r="E152" i="3"/>
  <c r="E214" i="3"/>
  <c r="AJ77" i="3"/>
  <c r="AJ127" i="3"/>
  <c r="AJ111" i="3"/>
  <c r="AJ204" i="3"/>
  <c r="L152" i="3"/>
  <c r="L77" i="3"/>
  <c r="AS103" i="3"/>
  <c r="AK103" i="3"/>
  <c r="AP103" i="3" s="1"/>
  <c r="AQ103" i="3"/>
  <c r="AL103" i="3"/>
  <c r="AM103" i="3" s="1"/>
  <c r="AN103" i="3" s="1"/>
  <c r="K103" i="3"/>
  <c r="AR103" i="3"/>
  <c r="S103" i="3"/>
  <c r="AR73" i="3"/>
  <c r="K73" i="3"/>
  <c r="AK73" i="3"/>
  <c r="AS73" i="3"/>
  <c r="S73" i="3"/>
  <c r="AQ73" i="3"/>
  <c r="AL73" i="3"/>
  <c r="L73" i="3"/>
  <c r="AM73" i="3"/>
  <c r="AN73" i="3" s="1"/>
  <c r="AQ90" i="3"/>
  <c r="S90" i="3"/>
  <c r="AR90" i="3"/>
  <c r="AL90" i="3"/>
  <c r="AM90" i="3" s="1"/>
  <c r="AN90" i="3" s="1"/>
  <c r="AK90" i="3"/>
  <c r="AP90" i="3" s="1"/>
  <c r="K90" i="3"/>
  <c r="AS90" i="3"/>
  <c r="AQ106" i="3"/>
  <c r="S106" i="3"/>
  <c r="AR106" i="3"/>
  <c r="AL106" i="3"/>
  <c r="AM106" i="3" s="1"/>
  <c r="AN106" i="3" s="1"/>
  <c r="AK106" i="3"/>
  <c r="K106" i="3"/>
  <c r="AS106" i="3"/>
  <c r="AR114" i="3"/>
  <c r="AK114" i="3"/>
  <c r="AQ114" i="3"/>
  <c r="AL114" i="3"/>
  <c r="AM114" i="3" s="1"/>
  <c r="AN114" i="3" s="1"/>
  <c r="S114" i="3"/>
  <c r="K114" i="3"/>
  <c r="AS114" i="3"/>
  <c r="AS147" i="3"/>
  <c r="AK147" i="3"/>
  <c r="AL147" i="3"/>
  <c r="AM147" i="3" s="1"/>
  <c r="AN147" i="3" s="1"/>
  <c r="S147" i="3"/>
  <c r="K147" i="3"/>
  <c r="AQ147" i="3"/>
  <c r="AR147" i="3"/>
  <c r="AR155" i="3"/>
  <c r="AQ155" i="3"/>
  <c r="AL155" i="3"/>
  <c r="AM155" i="3" s="1"/>
  <c r="AN155" i="3" s="1"/>
  <c r="AS155" i="3"/>
  <c r="S155" i="3"/>
  <c r="AK155" i="3"/>
  <c r="AP155" i="3" s="1"/>
  <c r="K155" i="3"/>
  <c r="AL115" i="3"/>
  <c r="AR115" i="3"/>
  <c r="AM115" i="3"/>
  <c r="AN115" i="3" s="1"/>
  <c r="S115" i="3"/>
  <c r="AS115" i="3"/>
  <c r="AK115" i="3"/>
  <c r="AP115" i="3" s="1"/>
  <c r="K115" i="3"/>
  <c r="AQ115" i="3"/>
  <c r="AL123" i="3"/>
  <c r="AR123" i="3"/>
  <c r="AM123" i="3"/>
  <c r="AN123" i="3" s="1"/>
  <c r="S123" i="3"/>
  <c r="AQ123" i="3"/>
  <c r="AK123" i="3"/>
  <c r="AP123" i="3" s="1"/>
  <c r="AS123" i="3"/>
  <c r="K123" i="3"/>
  <c r="AL131" i="3"/>
  <c r="AR131" i="3"/>
  <c r="AM131" i="3"/>
  <c r="AN131" i="3" s="1"/>
  <c r="S131" i="3"/>
  <c r="AQ131" i="3"/>
  <c r="AK131" i="3"/>
  <c r="AS131" i="3"/>
  <c r="K131" i="3"/>
  <c r="AL160" i="3"/>
  <c r="AS160" i="3"/>
  <c r="K160" i="3"/>
  <c r="AK160" i="3"/>
  <c r="AP160" i="3" s="1"/>
  <c r="AR160" i="3"/>
  <c r="S160" i="3"/>
  <c r="AM160" i="3"/>
  <c r="AN160" i="3" s="1"/>
  <c r="AQ160" i="3"/>
  <c r="AR116" i="3"/>
  <c r="K116" i="3"/>
  <c r="AK116" i="3"/>
  <c r="AP116" i="3" s="1"/>
  <c r="AQ116" i="3"/>
  <c r="AL116" i="3"/>
  <c r="AS116" i="3"/>
  <c r="S116" i="3"/>
  <c r="AM116" i="3"/>
  <c r="AN116" i="3" s="1"/>
  <c r="AR124" i="3"/>
  <c r="K124" i="3"/>
  <c r="AK124" i="3"/>
  <c r="AP124" i="3" s="1"/>
  <c r="AQ124" i="3"/>
  <c r="AL124" i="3"/>
  <c r="AS124" i="3"/>
  <c r="S124" i="3"/>
  <c r="AM124" i="3"/>
  <c r="AN124" i="3" s="1"/>
  <c r="AR132" i="3"/>
  <c r="K132" i="3"/>
  <c r="AK132" i="3"/>
  <c r="AP132" i="3" s="1"/>
  <c r="AQ132" i="3"/>
  <c r="AL132" i="3"/>
  <c r="AS132" i="3"/>
  <c r="S132" i="3"/>
  <c r="AM132" i="3"/>
  <c r="AN132" i="3" s="1"/>
  <c r="AQ140" i="3"/>
  <c r="S140" i="3"/>
  <c r="AR140" i="3"/>
  <c r="K140" i="3"/>
  <c r="AS140" i="3"/>
  <c r="AK140" i="3"/>
  <c r="AP140" i="3" s="1"/>
  <c r="AL140" i="3"/>
  <c r="AM140" i="3" s="1"/>
  <c r="AN140" i="3" s="1"/>
  <c r="AQ148" i="3"/>
  <c r="S148" i="3"/>
  <c r="AR148" i="3"/>
  <c r="K148" i="3"/>
  <c r="AS148" i="3"/>
  <c r="AK148" i="3"/>
  <c r="AP148" i="3" s="1"/>
  <c r="AL148" i="3"/>
  <c r="AM148" i="3" s="1"/>
  <c r="AN148" i="3" s="1"/>
  <c r="AL164" i="3"/>
  <c r="AS164" i="3"/>
  <c r="AK164" i="3"/>
  <c r="AR164" i="3"/>
  <c r="AM164" i="3"/>
  <c r="AN164" i="3" s="1"/>
  <c r="S164" i="3"/>
  <c r="K164" i="3"/>
  <c r="AQ164" i="3"/>
  <c r="AQ181" i="3"/>
  <c r="S181" i="3"/>
  <c r="AK181" i="3"/>
  <c r="K181" i="3"/>
  <c r="AR181" i="3"/>
  <c r="AS181" i="3"/>
  <c r="AL181" i="3"/>
  <c r="AM181" i="3" s="1"/>
  <c r="AN181" i="3" s="1"/>
  <c r="AL188" i="3"/>
  <c r="AM188" i="3" s="1"/>
  <c r="AN188" i="3" s="1"/>
  <c r="K188" i="3"/>
  <c r="AS188" i="3"/>
  <c r="AQ188" i="3"/>
  <c r="AK188" i="3"/>
  <c r="AR188" i="3"/>
  <c r="S188" i="3"/>
  <c r="AR159" i="3"/>
  <c r="K159" i="3"/>
  <c r="AQ159" i="3"/>
  <c r="AL159" i="3"/>
  <c r="AM159" i="3" s="1"/>
  <c r="AN159" i="3" s="1"/>
  <c r="AS159" i="3"/>
  <c r="S159" i="3"/>
  <c r="AK159" i="3"/>
  <c r="AP159" i="3" s="1"/>
  <c r="AR167" i="3"/>
  <c r="K167" i="3"/>
  <c r="AQ167" i="3"/>
  <c r="S167" i="3"/>
  <c r="AS167" i="3"/>
  <c r="AK167" i="3"/>
  <c r="AL167" i="3"/>
  <c r="AM167" i="3" s="1"/>
  <c r="AN167" i="3" s="1"/>
  <c r="AS174" i="3"/>
  <c r="AK174" i="3"/>
  <c r="AR174" i="3"/>
  <c r="AM174" i="3"/>
  <c r="AN174" i="3" s="1"/>
  <c r="S174" i="3"/>
  <c r="AL174" i="3"/>
  <c r="K174" i="3"/>
  <c r="AQ174" i="3"/>
  <c r="AS182" i="3"/>
  <c r="AK182" i="3"/>
  <c r="AR182" i="3"/>
  <c r="AM182" i="3"/>
  <c r="AN182" i="3" s="1"/>
  <c r="S182" i="3"/>
  <c r="AQ182" i="3"/>
  <c r="AL182" i="3"/>
  <c r="K182" i="3"/>
  <c r="AR186" i="3"/>
  <c r="K186" i="3"/>
  <c r="AQ186" i="3"/>
  <c r="S186" i="3"/>
  <c r="AS186" i="3"/>
  <c r="AK186" i="3"/>
  <c r="AP186" i="3" s="1"/>
  <c r="AL186" i="3"/>
  <c r="AM186" i="3" s="1"/>
  <c r="AN186" i="3" s="1"/>
  <c r="AQ207" i="3"/>
  <c r="S207" i="3"/>
  <c r="AK207" i="3"/>
  <c r="AP207" i="3" s="1"/>
  <c r="K207" i="3"/>
  <c r="AS207" i="3"/>
  <c r="AL207" i="3"/>
  <c r="AM207" i="3" s="1"/>
  <c r="AN207" i="3" s="1"/>
  <c r="AR207" i="3"/>
  <c r="AQ213" i="3"/>
  <c r="S213" i="3"/>
  <c r="AK213" i="3"/>
  <c r="AP213" i="3" s="1"/>
  <c r="K213" i="3"/>
  <c r="AS213" i="3"/>
  <c r="AR213" i="3"/>
  <c r="AL213" i="3"/>
  <c r="AM213" i="3" s="1"/>
  <c r="AN213" i="3" s="1"/>
  <c r="AO213" i="3" s="1"/>
  <c r="AR193" i="3"/>
  <c r="K193" i="3"/>
  <c r="AS193" i="3"/>
  <c r="AM193" i="3"/>
  <c r="AN193" i="3" s="1"/>
  <c r="S193" i="3"/>
  <c r="AQ193" i="3"/>
  <c r="AL193" i="3"/>
  <c r="AK193" i="3"/>
  <c r="AP193" i="3" s="1"/>
  <c r="AQ201" i="3"/>
  <c r="AR201" i="3"/>
  <c r="AL201" i="3"/>
  <c r="AM201" i="3" s="1"/>
  <c r="AN201" i="3" s="1"/>
  <c r="K201" i="3"/>
  <c r="AK201" i="3"/>
  <c r="AP201" i="3" s="1"/>
  <c r="S201" i="3"/>
  <c r="AS201" i="3"/>
  <c r="AL217" i="3"/>
  <c r="AS217" i="3"/>
  <c r="AK217" i="3"/>
  <c r="AP217" i="3" s="1"/>
  <c r="AQ217" i="3"/>
  <c r="AM217" i="3"/>
  <c r="AN217" i="3" s="1"/>
  <c r="S217" i="3"/>
  <c r="AR217" i="3"/>
  <c r="K217" i="3"/>
  <c r="AS210" i="3"/>
  <c r="AK210" i="3"/>
  <c r="AR210" i="3"/>
  <c r="S210" i="3"/>
  <c r="AQ210" i="3"/>
  <c r="AL210" i="3"/>
  <c r="AM210" i="3" s="1"/>
  <c r="AN210" i="3" s="1"/>
  <c r="K210" i="3"/>
  <c r="AL222" i="3"/>
  <c r="AM222" i="3" s="1"/>
  <c r="AN222" i="3" s="1"/>
  <c r="AS222" i="3"/>
  <c r="AR222" i="3"/>
  <c r="S222" i="3"/>
  <c r="K222" i="3"/>
  <c r="AK222" i="3"/>
  <c r="AP222" i="3" s="1"/>
  <c r="AQ222" i="3"/>
  <c r="AS218" i="3"/>
  <c r="K218" i="3"/>
  <c r="AR218" i="3"/>
  <c r="S218" i="3"/>
  <c r="AK218" i="3"/>
  <c r="AL218" i="3"/>
  <c r="AM218" i="3" s="1"/>
  <c r="AN218" i="3" s="1"/>
  <c r="AQ218" i="3"/>
  <c r="AL234" i="3"/>
  <c r="AS234" i="3"/>
  <c r="AK234" i="3"/>
  <c r="AQ234" i="3"/>
  <c r="AM234" i="3"/>
  <c r="AN234" i="3" s="1"/>
  <c r="S234" i="3"/>
  <c r="AR234" i="3"/>
  <c r="K234" i="3"/>
  <c r="AL243" i="3"/>
  <c r="AS243" i="3"/>
  <c r="AK243" i="3"/>
  <c r="AQ243" i="3"/>
  <c r="AM243" i="3"/>
  <c r="AN243" i="3" s="1"/>
  <c r="S243" i="3"/>
  <c r="AR243" i="3"/>
  <c r="K243" i="3"/>
  <c r="AR221" i="3"/>
  <c r="K221" i="3"/>
  <c r="AQ221" i="3"/>
  <c r="AL221" i="3"/>
  <c r="AM221" i="3" s="1"/>
  <c r="AN221" i="3" s="1"/>
  <c r="AK221" i="3"/>
  <c r="AS221" i="3"/>
  <c r="S221" i="3"/>
  <c r="AR229" i="3"/>
  <c r="K229" i="3"/>
  <c r="AQ229" i="3"/>
  <c r="S229" i="3"/>
  <c r="AS229" i="3"/>
  <c r="AK229" i="3"/>
  <c r="AL229" i="3"/>
  <c r="AM229" i="3" s="1"/>
  <c r="AN229" i="3" s="1"/>
  <c r="AS248" i="3"/>
  <c r="AK248" i="3"/>
  <c r="AQ248" i="3"/>
  <c r="AL248" i="3"/>
  <c r="AM248" i="3" s="1"/>
  <c r="AN248" i="3" s="1"/>
  <c r="K248" i="3"/>
  <c r="AR248" i="3"/>
  <c r="S248" i="3"/>
  <c r="AR240" i="3"/>
  <c r="K240" i="3"/>
  <c r="AS240" i="3"/>
  <c r="S240" i="3"/>
  <c r="AK240" i="3"/>
  <c r="AP240" i="3" s="1"/>
  <c r="AQ240" i="3"/>
  <c r="AL240" i="3"/>
  <c r="AM240" i="3" s="1"/>
  <c r="AN240" i="3" s="1"/>
  <c r="AR254" i="3"/>
  <c r="K254" i="3"/>
  <c r="AQ254" i="3"/>
  <c r="S254" i="3"/>
  <c r="AS254" i="3"/>
  <c r="AK254" i="3"/>
  <c r="AL254" i="3"/>
  <c r="AM254" i="3" s="1"/>
  <c r="AN254" i="3" s="1"/>
  <c r="AQ249" i="3"/>
  <c r="S249" i="3"/>
  <c r="AS249" i="3"/>
  <c r="AR249" i="3"/>
  <c r="AL249" i="3"/>
  <c r="AM249" i="3" s="1"/>
  <c r="AN249" i="3" s="1"/>
  <c r="AK249" i="3"/>
  <c r="AP249" i="3" s="1"/>
  <c r="K249" i="3"/>
  <c r="AR256" i="3"/>
  <c r="K256" i="3"/>
  <c r="AQ256" i="3"/>
  <c r="S256" i="3"/>
  <c r="AS256" i="3"/>
  <c r="AK256" i="3"/>
  <c r="AL256" i="3"/>
  <c r="AM256" i="3" s="1"/>
  <c r="AN256" i="3" s="1"/>
  <c r="AS262" i="3"/>
  <c r="AK262" i="3"/>
  <c r="AR262" i="3"/>
  <c r="K262" i="3"/>
  <c r="AL262" i="3"/>
  <c r="AM262" i="3"/>
  <c r="AN262" i="3" s="1"/>
  <c r="S262" i="3"/>
  <c r="AQ262" i="3"/>
  <c r="AJ98" i="3"/>
  <c r="AJ86" i="3"/>
  <c r="AJ72" i="3"/>
  <c r="AJ151" i="3"/>
  <c r="AJ94" i="3"/>
  <c r="E76" i="3"/>
  <c r="E68" i="3"/>
  <c r="AJ135" i="3"/>
  <c r="AP135" i="3" s="1"/>
  <c r="D82" i="3"/>
  <c r="E73" i="3"/>
  <c r="F73" i="3" s="1"/>
  <c r="E65" i="3"/>
  <c r="E91" i="3"/>
  <c r="E99" i="3"/>
  <c r="E107" i="3"/>
  <c r="E117" i="3"/>
  <c r="D152" i="3"/>
  <c r="D140" i="3"/>
  <c r="D64" i="3"/>
  <c r="D72" i="3"/>
  <c r="F80" i="3"/>
  <c r="D87" i="3"/>
  <c r="F87" i="3" s="1"/>
  <c r="D95" i="3"/>
  <c r="F95" i="3" s="1"/>
  <c r="D103" i="3"/>
  <c r="D111" i="3"/>
  <c r="D138" i="3"/>
  <c r="E174" i="3"/>
  <c r="E88" i="3"/>
  <c r="E96" i="3"/>
  <c r="E104" i="3"/>
  <c r="E112" i="3"/>
  <c r="E120" i="3"/>
  <c r="F120" i="3" s="1"/>
  <c r="E128" i="3"/>
  <c r="D157" i="3"/>
  <c r="D174" i="3"/>
  <c r="F174" i="3" s="1"/>
  <c r="E176" i="3"/>
  <c r="D114" i="3"/>
  <c r="F114" i="3" s="1"/>
  <c r="D122" i="3"/>
  <c r="D130" i="3"/>
  <c r="F130" i="3" s="1"/>
  <c r="E137" i="3"/>
  <c r="E145" i="3"/>
  <c r="E153" i="3"/>
  <c r="D184" i="3"/>
  <c r="F184" i="3" s="1"/>
  <c r="D121" i="3"/>
  <c r="D129" i="3"/>
  <c r="D137" i="3"/>
  <c r="D145" i="3"/>
  <c r="D153" i="3"/>
  <c r="E160" i="3"/>
  <c r="E178" i="3"/>
  <c r="E140" i="3"/>
  <c r="E148" i="3"/>
  <c r="E157" i="3"/>
  <c r="D165" i="3"/>
  <c r="E172" i="3"/>
  <c r="D193" i="3"/>
  <c r="F193" i="3" s="1"/>
  <c r="E169" i="3"/>
  <c r="F169" i="3" s="1"/>
  <c r="D177" i="3"/>
  <c r="D158" i="3"/>
  <c r="D166" i="3"/>
  <c r="E195" i="3"/>
  <c r="E177" i="3"/>
  <c r="E185" i="3"/>
  <c r="E189" i="3"/>
  <c r="D185" i="3"/>
  <c r="E192" i="3"/>
  <c r="E200" i="3"/>
  <c r="D195" i="3"/>
  <c r="D203" i="3"/>
  <c r="E197" i="3"/>
  <c r="E210" i="3"/>
  <c r="F210" i="3" s="1"/>
  <c r="D194" i="3"/>
  <c r="F194" i="3" s="1"/>
  <c r="D202" i="3"/>
  <c r="D208" i="3"/>
  <c r="D211" i="3"/>
  <c r="E203" i="3"/>
  <c r="E211" i="3"/>
  <c r="E220" i="3"/>
  <c r="E240" i="3"/>
  <c r="F240" i="3" s="1"/>
  <c r="D221" i="3"/>
  <c r="D229" i="3"/>
  <c r="F229" i="3" s="1"/>
  <c r="E236" i="3"/>
  <c r="E221" i="3"/>
  <c r="E238" i="3"/>
  <c r="E230" i="3"/>
  <c r="D238" i="3"/>
  <c r="E233" i="3"/>
  <c r="E241" i="3"/>
  <c r="D226" i="3"/>
  <c r="F226" i="3" s="1"/>
  <c r="D234" i="3"/>
  <c r="E242" i="3"/>
  <c r="D237" i="3"/>
  <c r="D245" i="3"/>
  <c r="F245" i="3" s="1"/>
  <c r="D253" i="3"/>
  <c r="D259" i="3"/>
  <c r="D256" i="3"/>
  <c r="F256" i="3" s="1"/>
  <c r="E255" i="3"/>
  <c r="E259" i="3"/>
  <c r="E260" i="3"/>
  <c r="D260" i="3"/>
  <c r="D263" i="3"/>
  <c r="E64" i="3"/>
  <c r="AJ137" i="3"/>
  <c r="AP137" i="3" s="1"/>
  <c r="AJ129" i="3"/>
  <c r="AJ65" i="3"/>
  <c r="AP65" i="3" s="1"/>
  <c r="AJ73" i="3"/>
  <c r="AJ81" i="3"/>
  <c r="AP81" i="3" s="1"/>
  <c r="AJ89" i="3"/>
  <c r="AJ97" i="3"/>
  <c r="AJ105" i="3"/>
  <c r="AJ112" i="3"/>
  <c r="AJ147" i="3"/>
  <c r="AJ176" i="3"/>
  <c r="AJ118" i="3"/>
  <c r="AJ126" i="3"/>
  <c r="AJ134" i="3"/>
  <c r="AJ142" i="3"/>
  <c r="AJ150" i="3"/>
  <c r="AJ158" i="3"/>
  <c r="AJ180" i="3"/>
  <c r="AJ174" i="3"/>
  <c r="AJ173" i="3"/>
  <c r="AJ181" i="3"/>
  <c r="AJ157" i="3"/>
  <c r="AJ165" i="3"/>
  <c r="AJ188" i="3"/>
  <c r="AJ196" i="3"/>
  <c r="AJ203" i="3"/>
  <c r="AJ208" i="3"/>
  <c r="AJ191" i="3"/>
  <c r="AJ199" i="3"/>
  <c r="AP199" i="3" s="1"/>
  <c r="AJ210" i="3"/>
  <c r="AJ211" i="3"/>
  <c r="AJ224" i="3"/>
  <c r="AJ234" i="3"/>
  <c r="AJ235" i="3"/>
  <c r="AJ221" i="3"/>
  <c r="AJ229" i="3"/>
  <c r="AJ243" i="3"/>
  <c r="AJ236" i="3"/>
  <c r="AJ244" i="3"/>
  <c r="AJ251" i="3"/>
  <c r="AJ252" i="3"/>
  <c r="AJ259" i="3"/>
  <c r="AJ262" i="3"/>
  <c r="L31" i="1"/>
  <c r="B90" i="1"/>
  <c r="G22" i="2" l="1"/>
  <c r="H22" i="2"/>
  <c r="F251" i="3"/>
  <c r="F85" i="3"/>
  <c r="G85" i="3" s="1"/>
  <c r="F118" i="3"/>
  <c r="F79" i="3"/>
  <c r="H79" i="3" s="1"/>
  <c r="F83" i="3"/>
  <c r="F196" i="3"/>
  <c r="H196" i="3" s="1"/>
  <c r="AW80" i="3"/>
  <c r="AY80" i="3" s="1"/>
  <c r="AP119" i="3"/>
  <c r="AO262" i="3"/>
  <c r="AP188" i="3"/>
  <c r="F125" i="3"/>
  <c r="F101" i="3"/>
  <c r="G101" i="3" s="1"/>
  <c r="AT73" i="3"/>
  <c r="AU73" i="3" s="1"/>
  <c r="AT220" i="3"/>
  <c r="AU220" i="3" s="1"/>
  <c r="AT211" i="3"/>
  <c r="AU211" i="3" s="1"/>
  <c r="AT205" i="3"/>
  <c r="AU205" i="3" s="1"/>
  <c r="AW205" i="3" s="1"/>
  <c r="AP176" i="3"/>
  <c r="AP136" i="3"/>
  <c r="AO67" i="3"/>
  <c r="AP214" i="3"/>
  <c r="AO181" i="3"/>
  <c r="AP97" i="3"/>
  <c r="AO75" i="3"/>
  <c r="AP86" i="3"/>
  <c r="F134" i="3"/>
  <c r="H134" i="3" s="1"/>
  <c r="F113" i="3"/>
  <c r="G113" i="3" s="1"/>
  <c r="F215" i="3"/>
  <c r="G215" i="3" s="1"/>
  <c r="F66" i="3"/>
  <c r="H66" i="3" s="1"/>
  <c r="F141" i="3"/>
  <c r="H141" i="3" s="1"/>
  <c r="F103" i="3"/>
  <c r="G103" i="3" s="1"/>
  <c r="F98" i="3"/>
  <c r="G98" i="3" s="1"/>
  <c r="F263" i="3"/>
  <c r="G263" i="3" s="1"/>
  <c r="F78" i="3"/>
  <c r="G78" i="3" s="1"/>
  <c r="F220" i="3"/>
  <c r="G220" i="3" s="1"/>
  <c r="F165" i="3"/>
  <c r="H165" i="3" s="1"/>
  <c r="F187" i="3"/>
  <c r="G187" i="3" s="1"/>
  <c r="F84" i="3"/>
  <c r="G84" i="3" s="1"/>
  <c r="F237" i="3"/>
  <c r="G237" i="3" s="1"/>
  <c r="F241" i="3"/>
  <c r="H241" i="3" s="1"/>
  <c r="F166" i="3"/>
  <c r="H166" i="3" s="1"/>
  <c r="F121" i="3"/>
  <c r="G121" i="3" s="1"/>
  <c r="F117" i="3"/>
  <c r="H117" i="3" s="1"/>
  <c r="F93" i="3"/>
  <c r="H93" i="3" s="1"/>
  <c r="F71" i="3"/>
  <c r="H71" i="3" s="1"/>
  <c r="F199" i="3"/>
  <c r="H199" i="3" s="1"/>
  <c r="F180" i="3"/>
  <c r="G180" i="3" s="1"/>
  <c r="F234" i="3"/>
  <c r="G234" i="3" s="1"/>
  <c r="F122" i="3"/>
  <c r="H122" i="3" s="1"/>
  <c r="F104" i="3"/>
  <c r="G104" i="3" s="1"/>
  <c r="F232" i="3"/>
  <c r="G232" i="3" s="1"/>
  <c r="F37" i="2"/>
  <c r="K68" i="2"/>
  <c r="AT232" i="3"/>
  <c r="AU232" i="3" s="1"/>
  <c r="AW232" i="3" s="1"/>
  <c r="AT117" i="3"/>
  <c r="AU117" i="3" s="1"/>
  <c r="AT189" i="3"/>
  <c r="AU189" i="3" s="1"/>
  <c r="F48" i="2"/>
  <c r="D17" i="2" s="1"/>
  <c r="G17" i="2"/>
  <c r="G25" i="2"/>
  <c r="G21" i="2"/>
  <c r="G50" i="2"/>
  <c r="E19" i="2" s="1"/>
  <c r="G57" i="2"/>
  <c r="E26" i="2" s="1"/>
  <c r="G36" i="2"/>
  <c r="G19" i="2"/>
  <c r="G52" i="2"/>
  <c r="E21" i="2" s="1"/>
  <c r="G53" i="2"/>
  <c r="E22" i="2" s="1"/>
  <c r="G59" i="2"/>
  <c r="E28" i="2" s="1"/>
  <c r="F56" i="2"/>
  <c r="D25" i="2" s="1"/>
  <c r="F57" i="2"/>
  <c r="D26" i="2" s="1"/>
  <c r="G28" i="2"/>
  <c r="G29" i="2"/>
  <c r="G15" i="2"/>
  <c r="F60" i="2"/>
  <c r="D29" i="2" s="1"/>
  <c r="F59" i="2"/>
  <c r="D28" i="2" s="1"/>
  <c r="G51" i="2"/>
  <c r="G60" i="2"/>
  <c r="E29" i="2" s="1"/>
  <c r="G46" i="2"/>
  <c r="E15" i="2" s="1"/>
  <c r="F46" i="2"/>
  <c r="D15" i="2" s="1"/>
  <c r="F67" i="2"/>
  <c r="D36" i="2" s="1"/>
  <c r="B13" i="2"/>
  <c r="C13" i="2" s="1"/>
  <c r="G39" i="2"/>
  <c r="G20" i="2"/>
  <c r="P68" i="2"/>
  <c r="M68" i="2"/>
  <c r="F61" i="2"/>
  <c r="D30" i="2" s="1"/>
  <c r="F58" i="2"/>
  <c r="D27" i="2" s="1"/>
  <c r="M263" i="3"/>
  <c r="T263" i="3" s="1"/>
  <c r="U263" i="3" s="1"/>
  <c r="V263" i="3" s="1"/>
  <c r="AB263" i="3" s="1"/>
  <c r="AD263" i="3" s="1"/>
  <c r="K70" i="2"/>
  <c r="J68" i="2"/>
  <c r="G26" i="2"/>
  <c r="G30" i="2"/>
  <c r="G49" i="2"/>
  <c r="E18" i="2" s="1"/>
  <c r="F71" i="2"/>
  <c r="D40" i="2" s="1"/>
  <c r="F62" i="2"/>
  <c r="D31" i="2" s="1"/>
  <c r="E20" i="2"/>
  <c r="P70" i="2"/>
  <c r="O68" i="2"/>
  <c r="G31" i="2"/>
  <c r="G16" i="2"/>
  <c r="G24" i="2"/>
  <c r="G61" i="2"/>
  <c r="E30" i="2" s="1"/>
  <c r="G56" i="2"/>
  <c r="E25" i="2" s="1"/>
  <c r="G55" i="2"/>
  <c r="E24" i="2" s="1"/>
  <c r="F53" i="2"/>
  <c r="D22" i="2" s="1"/>
  <c r="G47" i="2"/>
  <c r="E16" i="2" s="1"/>
  <c r="F68" i="2"/>
  <c r="D37" i="2" s="1"/>
  <c r="F64" i="2"/>
  <c r="D33" i="2" s="1"/>
  <c r="I70" i="2"/>
  <c r="M70" i="2"/>
  <c r="F39" i="2"/>
  <c r="G33" i="2"/>
  <c r="G23" i="2"/>
  <c r="G68" i="2"/>
  <c r="E37" i="2" s="1"/>
  <c r="G58" i="2"/>
  <c r="E27" i="2" s="1"/>
  <c r="G63" i="2"/>
  <c r="E32" i="2" s="1"/>
  <c r="O70" i="2"/>
  <c r="G34" i="2"/>
  <c r="G18" i="2"/>
  <c r="I68" i="2"/>
  <c r="F21" i="2"/>
  <c r="G40" i="2"/>
  <c r="G27" i="2"/>
  <c r="F65" i="2"/>
  <c r="D34" i="2" s="1"/>
  <c r="F49" i="2"/>
  <c r="D18" i="2" s="1"/>
  <c r="G66" i="2"/>
  <c r="E35" i="2" s="1"/>
  <c r="F50" i="2"/>
  <c r="D19" i="2" s="1"/>
  <c r="F69" i="2"/>
  <c r="D38" i="2" s="1"/>
  <c r="F54" i="2"/>
  <c r="D23" i="2" s="1"/>
  <c r="G45" i="2"/>
  <c r="E14" i="2" s="1"/>
  <c r="F55" i="2"/>
  <c r="D24" i="2" s="1"/>
  <c r="G62" i="2"/>
  <c r="E31" i="2" s="1"/>
  <c r="G67" i="2"/>
  <c r="E36" i="2" s="1"/>
  <c r="F51" i="2"/>
  <c r="D20" i="2" s="1"/>
  <c r="F63" i="2"/>
  <c r="D32" i="2" s="1"/>
  <c r="G70" i="2"/>
  <c r="E39" i="2" s="1"/>
  <c r="G48" i="2"/>
  <c r="E17" i="2" s="1"/>
  <c r="N70" i="2"/>
  <c r="G54" i="2"/>
  <c r="E23" i="2" s="1"/>
  <c r="F47" i="2"/>
  <c r="D16" i="2" s="1"/>
  <c r="G37" i="2"/>
  <c r="G32" i="2"/>
  <c r="G38" i="2"/>
  <c r="G14" i="2"/>
  <c r="G35" i="2"/>
  <c r="G65" i="2"/>
  <c r="E34" i="2" s="1"/>
  <c r="F66" i="2"/>
  <c r="D35" i="2" s="1"/>
  <c r="G69" i="2"/>
  <c r="E38" i="2" s="1"/>
  <c r="F45" i="2"/>
  <c r="D14" i="2" s="1"/>
  <c r="G71" i="2"/>
  <c r="E40" i="2" s="1"/>
  <c r="F52" i="2"/>
  <c r="D21" i="2" s="1"/>
  <c r="G64" i="2"/>
  <c r="E33" i="2" s="1"/>
  <c r="F70" i="2"/>
  <c r="D39" i="2" s="1"/>
  <c r="B76" i="1"/>
  <c r="B60" i="1"/>
  <c r="B41" i="2"/>
  <c r="C41" i="2" s="1"/>
  <c r="F123" i="3"/>
  <c r="H123" i="3" s="1"/>
  <c r="M99" i="3"/>
  <c r="N99" i="3" s="1"/>
  <c r="O99" i="3" s="1"/>
  <c r="P99" i="3" s="1"/>
  <c r="M110" i="3"/>
  <c r="T110" i="3" s="1"/>
  <c r="U110" i="3" s="1"/>
  <c r="V110" i="3" s="1"/>
  <c r="AB110" i="3" s="1"/>
  <c r="M204" i="3"/>
  <c r="T204" i="3" s="1"/>
  <c r="U204" i="3" s="1"/>
  <c r="V204" i="3" s="1"/>
  <c r="AB204" i="3" s="1"/>
  <c r="M132" i="3"/>
  <c r="T132" i="3" s="1"/>
  <c r="U132" i="3" s="1"/>
  <c r="V132" i="3" s="1"/>
  <c r="AB132" i="3" s="1"/>
  <c r="M171" i="3"/>
  <c r="N171" i="3" s="1"/>
  <c r="O171" i="3" s="1"/>
  <c r="P171" i="3" s="1"/>
  <c r="M238" i="3"/>
  <c r="T238" i="3" s="1"/>
  <c r="U238" i="3" s="1"/>
  <c r="V238" i="3" s="1"/>
  <c r="AB238" i="3" s="1"/>
  <c r="M120" i="3"/>
  <c r="T120" i="3" s="1"/>
  <c r="U120" i="3" s="1"/>
  <c r="V120" i="3" s="1"/>
  <c r="AB120" i="3" s="1"/>
  <c r="M141" i="3"/>
  <c r="T141" i="3" s="1"/>
  <c r="U141" i="3" s="1"/>
  <c r="V141" i="3" s="1"/>
  <c r="AB141" i="3" s="1"/>
  <c r="M214" i="3"/>
  <c r="N214" i="3" s="1"/>
  <c r="O214" i="3" s="1"/>
  <c r="P214" i="3" s="1"/>
  <c r="M126" i="3"/>
  <c r="T126" i="3" s="1"/>
  <c r="U126" i="3" s="1"/>
  <c r="V126" i="3" s="1"/>
  <c r="AB126" i="3" s="1"/>
  <c r="M184" i="3"/>
  <c r="T184" i="3" s="1"/>
  <c r="U184" i="3" s="1"/>
  <c r="V184" i="3" s="1"/>
  <c r="AB184" i="3" s="1"/>
  <c r="AD184" i="3" s="1"/>
  <c r="M245" i="3"/>
  <c r="T245" i="3" s="1"/>
  <c r="U245" i="3" s="1"/>
  <c r="V245" i="3" s="1"/>
  <c r="AB245" i="3" s="1"/>
  <c r="AD245" i="3" s="1"/>
  <c r="M117" i="3"/>
  <c r="N117" i="3" s="1"/>
  <c r="O117" i="3" s="1"/>
  <c r="P117" i="3" s="1"/>
  <c r="M73" i="3"/>
  <c r="T73" i="3" s="1"/>
  <c r="U73" i="3" s="1"/>
  <c r="V73" i="3" s="1"/>
  <c r="AB73" i="3" s="1"/>
  <c r="M89" i="3"/>
  <c r="N89" i="3" s="1"/>
  <c r="O89" i="3" s="1"/>
  <c r="P89" i="3" s="1"/>
  <c r="M98" i="3"/>
  <c r="T98" i="3" s="1"/>
  <c r="U98" i="3" s="1"/>
  <c r="V98" i="3" s="1"/>
  <c r="AB98" i="3" s="1"/>
  <c r="AC98" i="3" s="1"/>
  <c r="M74" i="3"/>
  <c r="N74" i="3" s="1"/>
  <c r="O74" i="3" s="1"/>
  <c r="P74" i="3" s="1"/>
  <c r="M144" i="3"/>
  <c r="N144" i="3" s="1"/>
  <c r="O144" i="3" s="1"/>
  <c r="P144" i="3" s="1"/>
  <c r="M125" i="3"/>
  <c r="N125" i="3" s="1"/>
  <c r="O125" i="3" s="1"/>
  <c r="P125" i="3" s="1"/>
  <c r="X125" i="3" s="1"/>
  <c r="M157" i="3"/>
  <c r="N157" i="3" s="1"/>
  <c r="O157" i="3" s="1"/>
  <c r="P157" i="3" s="1"/>
  <c r="M182" i="3"/>
  <c r="N182" i="3" s="1"/>
  <c r="O182" i="3" s="1"/>
  <c r="P182" i="3" s="1"/>
  <c r="X182" i="3" s="1"/>
  <c r="Y182" i="3" s="1"/>
  <c r="M191" i="3"/>
  <c r="N191" i="3" s="1"/>
  <c r="O191" i="3" s="1"/>
  <c r="P191" i="3" s="1"/>
  <c r="X191" i="3" s="1"/>
  <c r="M200" i="3"/>
  <c r="N200" i="3" s="1"/>
  <c r="O200" i="3" s="1"/>
  <c r="P200" i="3" s="1"/>
  <c r="M225" i="3"/>
  <c r="T225" i="3" s="1"/>
  <c r="U225" i="3" s="1"/>
  <c r="V225" i="3" s="1"/>
  <c r="AB225" i="3" s="1"/>
  <c r="AC225" i="3" s="1"/>
  <c r="M232" i="3"/>
  <c r="N232" i="3" s="1"/>
  <c r="O232" i="3" s="1"/>
  <c r="P232" i="3" s="1"/>
  <c r="M255" i="3"/>
  <c r="N255" i="3" s="1"/>
  <c r="O255" i="3" s="1"/>
  <c r="P255" i="3" s="1"/>
  <c r="M69" i="3"/>
  <c r="N69" i="3" s="1"/>
  <c r="O69" i="3" s="1"/>
  <c r="P69" i="3" s="1"/>
  <c r="X69" i="3" s="1"/>
  <c r="M90" i="3"/>
  <c r="T90" i="3" s="1"/>
  <c r="U90" i="3" s="1"/>
  <c r="V90" i="3" s="1"/>
  <c r="AB90" i="3" s="1"/>
  <c r="AC90" i="3" s="1"/>
  <c r="M66" i="3"/>
  <c r="T66" i="3" s="1"/>
  <c r="U66" i="3" s="1"/>
  <c r="V66" i="3" s="1"/>
  <c r="AB66" i="3" s="1"/>
  <c r="M136" i="3"/>
  <c r="N136" i="3" s="1"/>
  <c r="O136" i="3" s="1"/>
  <c r="P136" i="3" s="1"/>
  <c r="M149" i="3"/>
  <c r="T149" i="3" s="1"/>
  <c r="U149" i="3" s="1"/>
  <c r="V149" i="3" s="1"/>
  <c r="AB149" i="3" s="1"/>
  <c r="AD149" i="3" s="1"/>
  <c r="M174" i="3"/>
  <c r="T174" i="3" s="1"/>
  <c r="U174" i="3" s="1"/>
  <c r="V174" i="3" s="1"/>
  <c r="AB174" i="3" s="1"/>
  <c r="M203" i="3"/>
  <c r="T203" i="3" s="1"/>
  <c r="U203" i="3" s="1"/>
  <c r="V203" i="3" s="1"/>
  <c r="AB203" i="3" s="1"/>
  <c r="M192" i="3"/>
  <c r="T192" i="3" s="1"/>
  <c r="U192" i="3" s="1"/>
  <c r="V192" i="3" s="1"/>
  <c r="AB192" i="3" s="1"/>
  <c r="M233" i="3"/>
  <c r="T233" i="3" s="1"/>
  <c r="U233" i="3" s="1"/>
  <c r="V233" i="3" s="1"/>
  <c r="AB233" i="3" s="1"/>
  <c r="M224" i="3"/>
  <c r="T224" i="3" s="1"/>
  <c r="U224" i="3" s="1"/>
  <c r="V224" i="3" s="1"/>
  <c r="AB224" i="3" s="1"/>
  <c r="AC224" i="3" s="1"/>
  <c r="M256" i="3"/>
  <c r="T256" i="3" s="1"/>
  <c r="U256" i="3" s="1"/>
  <c r="V256" i="3" s="1"/>
  <c r="AB256" i="3" s="1"/>
  <c r="M83" i="3"/>
  <c r="T83" i="3" s="1"/>
  <c r="U83" i="3" s="1"/>
  <c r="V83" i="3" s="1"/>
  <c r="AB83" i="3" s="1"/>
  <c r="M105" i="3"/>
  <c r="N105" i="3" s="1"/>
  <c r="O105" i="3" s="1"/>
  <c r="P105" i="3" s="1"/>
  <c r="M106" i="3"/>
  <c r="N106" i="3" s="1"/>
  <c r="O106" i="3" s="1"/>
  <c r="P106" i="3" s="1"/>
  <c r="X106" i="3" s="1"/>
  <c r="M109" i="3"/>
  <c r="N109" i="3" s="1"/>
  <c r="O109" i="3" s="1"/>
  <c r="P109" i="3" s="1"/>
  <c r="M152" i="3"/>
  <c r="N152" i="3" s="1"/>
  <c r="O152" i="3" s="1"/>
  <c r="P152" i="3" s="1"/>
  <c r="M133" i="3"/>
  <c r="N133" i="3" s="1"/>
  <c r="O133" i="3" s="1"/>
  <c r="P133" i="3" s="1"/>
  <c r="X133" i="3" s="1"/>
  <c r="Z133" i="3" s="1"/>
  <c r="M165" i="3"/>
  <c r="N165" i="3" s="1"/>
  <c r="O165" i="3" s="1"/>
  <c r="P165" i="3" s="1"/>
  <c r="M162" i="3"/>
  <c r="T162" i="3" s="1"/>
  <c r="U162" i="3" s="1"/>
  <c r="V162" i="3" s="1"/>
  <c r="AB162" i="3" s="1"/>
  <c r="M197" i="3"/>
  <c r="T197" i="3" s="1"/>
  <c r="U197" i="3" s="1"/>
  <c r="V197" i="3" s="1"/>
  <c r="AB197" i="3" s="1"/>
  <c r="M231" i="3"/>
  <c r="T231" i="3" s="1"/>
  <c r="U231" i="3" s="1"/>
  <c r="V231" i="3" s="1"/>
  <c r="AB231" i="3" s="1"/>
  <c r="AD231" i="3" s="1"/>
  <c r="M242" i="3"/>
  <c r="T242" i="3" s="1"/>
  <c r="U242" i="3" s="1"/>
  <c r="V242" i="3" s="1"/>
  <c r="AB242" i="3" s="1"/>
  <c r="M237" i="3"/>
  <c r="T237" i="3" s="1"/>
  <c r="U237" i="3" s="1"/>
  <c r="V237" i="3" s="1"/>
  <c r="AB237" i="3" s="1"/>
  <c r="M260" i="3"/>
  <c r="T260" i="3" s="1"/>
  <c r="U260" i="3" s="1"/>
  <c r="V260" i="3" s="1"/>
  <c r="AB260" i="3" s="1"/>
  <c r="M77" i="3"/>
  <c r="N77" i="3" s="1"/>
  <c r="O77" i="3" s="1"/>
  <c r="P77" i="3" s="1"/>
  <c r="X77" i="3" s="1"/>
  <c r="M103" i="3"/>
  <c r="N103" i="3" s="1"/>
  <c r="O103" i="3" s="1"/>
  <c r="P103" i="3" s="1"/>
  <c r="M93" i="3"/>
  <c r="T93" i="3" s="1"/>
  <c r="U93" i="3" s="1"/>
  <c r="V93" i="3" s="1"/>
  <c r="AB93" i="3" s="1"/>
  <c r="AD93" i="3" s="1"/>
  <c r="M84" i="3"/>
  <c r="T84" i="3" s="1"/>
  <c r="U84" i="3" s="1"/>
  <c r="V84" i="3" s="1"/>
  <c r="AB84" i="3" s="1"/>
  <c r="M100" i="3"/>
  <c r="N100" i="3" s="1"/>
  <c r="O100" i="3" s="1"/>
  <c r="P100" i="3" s="1"/>
  <c r="X100" i="3" s="1"/>
  <c r="M122" i="3"/>
  <c r="N122" i="3" s="1"/>
  <c r="O122" i="3" s="1"/>
  <c r="P122" i="3" s="1"/>
  <c r="M76" i="3"/>
  <c r="T76" i="3" s="1"/>
  <c r="U76" i="3" s="1"/>
  <c r="V76" i="3" s="1"/>
  <c r="AB76" i="3" s="1"/>
  <c r="M134" i="3"/>
  <c r="T134" i="3" s="1"/>
  <c r="U134" i="3" s="1"/>
  <c r="V134" i="3" s="1"/>
  <c r="AB134" i="3" s="1"/>
  <c r="AC134" i="3" s="1"/>
  <c r="M146" i="3"/>
  <c r="N146" i="3" s="1"/>
  <c r="O146" i="3" s="1"/>
  <c r="P146" i="3" s="1"/>
  <c r="X146" i="3" s="1"/>
  <c r="M112" i="3"/>
  <c r="N112" i="3" s="1"/>
  <c r="O112" i="3" s="1"/>
  <c r="P112" i="3" s="1"/>
  <c r="M127" i="3"/>
  <c r="T127" i="3" s="1"/>
  <c r="U127" i="3" s="1"/>
  <c r="V127" i="3" s="1"/>
  <c r="AB127" i="3" s="1"/>
  <c r="AC127" i="3" s="1"/>
  <c r="M143" i="3"/>
  <c r="T143" i="3" s="1"/>
  <c r="U143" i="3" s="1"/>
  <c r="V143" i="3" s="1"/>
  <c r="AB143" i="3" s="1"/>
  <c r="M159" i="3"/>
  <c r="T159" i="3" s="1"/>
  <c r="U159" i="3" s="1"/>
  <c r="V159" i="3" s="1"/>
  <c r="AB159" i="3" s="1"/>
  <c r="M179" i="3"/>
  <c r="T179" i="3" s="1"/>
  <c r="U179" i="3" s="1"/>
  <c r="V179" i="3" s="1"/>
  <c r="AB179" i="3" s="1"/>
  <c r="AD179" i="3" s="1"/>
  <c r="M156" i="3"/>
  <c r="N156" i="3" s="1"/>
  <c r="O156" i="3" s="1"/>
  <c r="P156" i="3" s="1"/>
  <c r="M186" i="3"/>
  <c r="N186" i="3" s="1"/>
  <c r="O186" i="3" s="1"/>
  <c r="P186" i="3" s="1"/>
  <c r="M193" i="3"/>
  <c r="T193" i="3" s="1"/>
  <c r="U193" i="3" s="1"/>
  <c r="V193" i="3" s="1"/>
  <c r="AB193" i="3" s="1"/>
  <c r="M209" i="3"/>
  <c r="N209" i="3" s="1"/>
  <c r="O209" i="3" s="1"/>
  <c r="P209" i="3" s="1"/>
  <c r="X209" i="3" s="1"/>
  <c r="M206" i="3"/>
  <c r="N206" i="3" s="1"/>
  <c r="O206" i="3" s="1"/>
  <c r="P206" i="3" s="1"/>
  <c r="M216" i="3"/>
  <c r="T216" i="3" s="1"/>
  <c r="U216" i="3" s="1"/>
  <c r="V216" i="3" s="1"/>
  <c r="M219" i="3"/>
  <c r="N219" i="3" s="1"/>
  <c r="O219" i="3" s="1"/>
  <c r="P219" i="3" s="1"/>
  <c r="M244" i="3"/>
  <c r="T244" i="3" s="1"/>
  <c r="U244" i="3" s="1"/>
  <c r="V244" i="3" s="1"/>
  <c r="AB244" i="3" s="1"/>
  <c r="M240" i="3"/>
  <c r="N240" i="3" s="1"/>
  <c r="O240" i="3" s="1"/>
  <c r="P240" i="3" s="1"/>
  <c r="X240" i="3" s="1"/>
  <c r="M226" i="3"/>
  <c r="N226" i="3" s="1"/>
  <c r="O226" i="3" s="1"/>
  <c r="P226" i="3" s="1"/>
  <c r="X226" i="3" s="1"/>
  <c r="M239" i="3"/>
  <c r="N239" i="3" s="1"/>
  <c r="O239" i="3" s="1"/>
  <c r="P239" i="3" s="1"/>
  <c r="M250" i="3"/>
  <c r="N250" i="3" s="1"/>
  <c r="O250" i="3" s="1"/>
  <c r="P250" i="3" s="1"/>
  <c r="X250" i="3" s="1"/>
  <c r="M249" i="3"/>
  <c r="T249" i="3" s="1"/>
  <c r="U249" i="3" s="1"/>
  <c r="V249" i="3" s="1"/>
  <c r="AB249" i="3" s="1"/>
  <c r="AC249" i="3" s="1"/>
  <c r="M257" i="3"/>
  <c r="N257" i="3" s="1"/>
  <c r="O257" i="3" s="1"/>
  <c r="P257" i="3" s="1"/>
  <c r="M262" i="3"/>
  <c r="N262" i="3" s="1"/>
  <c r="O262" i="3" s="1"/>
  <c r="P262" i="3" s="1"/>
  <c r="X262" i="3" s="1"/>
  <c r="Y262" i="3" s="1"/>
  <c r="M79" i="3"/>
  <c r="T79" i="3" s="1"/>
  <c r="U79" i="3" s="1"/>
  <c r="V79" i="3" s="1"/>
  <c r="AB79" i="3" s="1"/>
  <c r="AD79" i="3" s="1"/>
  <c r="M91" i="3"/>
  <c r="T91" i="3" s="1"/>
  <c r="U91" i="3" s="1"/>
  <c r="V91" i="3" s="1"/>
  <c r="AB91" i="3" s="1"/>
  <c r="M107" i="3"/>
  <c r="T107" i="3" s="1"/>
  <c r="U107" i="3" s="1"/>
  <c r="V107" i="3" s="1"/>
  <c r="AB107" i="3" s="1"/>
  <c r="M75" i="3"/>
  <c r="N75" i="3" s="1"/>
  <c r="O75" i="3" s="1"/>
  <c r="P75" i="3" s="1"/>
  <c r="X75" i="3" s="1"/>
  <c r="M97" i="3"/>
  <c r="T97" i="3" s="1"/>
  <c r="U97" i="3" s="1"/>
  <c r="V97" i="3" s="1"/>
  <c r="AB97" i="3" s="1"/>
  <c r="M130" i="3"/>
  <c r="N130" i="3" s="1"/>
  <c r="O130" i="3" s="1"/>
  <c r="P130" i="3" s="1"/>
  <c r="X130" i="3" s="1"/>
  <c r="M86" i="3"/>
  <c r="N86" i="3" s="1"/>
  <c r="O86" i="3" s="1"/>
  <c r="P86" i="3" s="1"/>
  <c r="M94" i="3"/>
  <c r="T94" i="3" s="1"/>
  <c r="U94" i="3" s="1"/>
  <c r="V94" i="3" s="1"/>
  <c r="AB94" i="3" s="1"/>
  <c r="M102" i="3"/>
  <c r="N102" i="3" s="1"/>
  <c r="O102" i="3" s="1"/>
  <c r="P102" i="3" s="1"/>
  <c r="M118" i="3"/>
  <c r="T118" i="3" s="1"/>
  <c r="U118" i="3" s="1"/>
  <c r="V118" i="3" s="1"/>
  <c r="AB118" i="3" s="1"/>
  <c r="M128" i="3"/>
  <c r="T128" i="3" s="1"/>
  <c r="U128" i="3" s="1"/>
  <c r="V128" i="3" s="1"/>
  <c r="AB128" i="3" s="1"/>
  <c r="M70" i="3"/>
  <c r="N70" i="3" s="1"/>
  <c r="O70" i="3" s="1"/>
  <c r="P70" i="3" s="1"/>
  <c r="X70" i="3" s="1"/>
  <c r="M78" i="3"/>
  <c r="N78" i="3" s="1"/>
  <c r="O78" i="3" s="1"/>
  <c r="P78" i="3" s="1"/>
  <c r="X78" i="3" s="1"/>
  <c r="M113" i="3"/>
  <c r="T113" i="3" s="1"/>
  <c r="U113" i="3" s="1"/>
  <c r="V113" i="3" s="1"/>
  <c r="AB113" i="3" s="1"/>
  <c r="M173" i="3"/>
  <c r="T173" i="3" s="1"/>
  <c r="U173" i="3" s="1"/>
  <c r="V173" i="3" s="1"/>
  <c r="AB173" i="3" s="1"/>
  <c r="AD173" i="3" s="1"/>
  <c r="M140" i="3"/>
  <c r="T140" i="3" s="1"/>
  <c r="U140" i="3" s="1"/>
  <c r="V140" i="3" s="1"/>
  <c r="AB140" i="3" s="1"/>
  <c r="M148" i="3"/>
  <c r="N148" i="3" s="1"/>
  <c r="O148" i="3" s="1"/>
  <c r="P148" i="3" s="1"/>
  <c r="M175" i="3"/>
  <c r="N175" i="3" s="1"/>
  <c r="O175" i="3" s="1"/>
  <c r="P175" i="3" s="1"/>
  <c r="M114" i="3"/>
  <c r="N114" i="3" s="1"/>
  <c r="O114" i="3" s="1"/>
  <c r="P114" i="3" s="1"/>
  <c r="X114" i="3" s="1"/>
  <c r="M121" i="3"/>
  <c r="T121" i="3" s="1"/>
  <c r="U121" i="3" s="1"/>
  <c r="V121" i="3" s="1"/>
  <c r="AB121" i="3" s="1"/>
  <c r="M129" i="3"/>
  <c r="N129" i="3" s="1"/>
  <c r="O129" i="3" s="1"/>
  <c r="P129" i="3" s="1"/>
  <c r="M137" i="3"/>
  <c r="T137" i="3" s="1"/>
  <c r="U137" i="3" s="1"/>
  <c r="V137" i="3" s="1"/>
  <c r="AB137" i="3" s="1"/>
  <c r="M145" i="3"/>
  <c r="N145" i="3" s="1"/>
  <c r="O145" i="3" s="1"/>
  <c r="P145" i="3" s="1"/>
  <c r="M153" i="3"/>
  <c r="T153" i="3" s="1"/>
  <c r="U153" i="3" s="1"/>
  <c r="V153" i="3" s="1"/>
  <c r="AB153" i="3" s="1"/>
  <c r="AD153" i="3" s="1"/>
  <c r="M161" i="3"/>
  <c r="T161" i="3" s="1"/>
  <c r="U161" i="3" s="1"/>
  <c r="V161" i="3" s="1"/>
  <c r="AB161" i="3" s="1"/>
  <c r="M169" i="3"/>
  <c r="N169" i="3" s="1"/>
  <c r="O169" i="3" s="1"/>
  <c r="P169" i="3" s="1"/>
  <c r="X169" i="3" s="1"/>
  <c r="M170" i="3"/>
  <c r="T170" i="3" s="1"/>
  <c r="U170" i="3" s="1"/>
  <c r="V170" i="3" s="1"/>
  <c r="AB170" i="3" s="1"/>
  <c r="M178" i="3"/>
  <c r="T178" i="3" s="1"/>
  <c r="U178" i="3" s="1"/>
  <c r="V178" i="3" s="1"/>
  <c r="AB178" i="3" s="1"/>
  <c r="M158" i="3"/>
  <c r="N158" i="3" s="1"/>
  <c r="O158" i="3" s="1"/>
  <c r="P158" i="3" s="1"/>
  <c r="M166" i="3"/>
  <c r="T166" i="3" s="1"/>
  <c r="U166" i="3" s="1"/>
  <c r="V166" i="3" s="1"/>
  <c r="AB166" i="3" s="1"/>
  <c r="M205" i="3"/>
  <c r="T205" i="3" s="1"/>
  <c r="U205" i="3" s="1"/>
  <c r="V205" i="3" s="1"/>
  <c r="AB205" i="3" s="1"/>
  <c r="M187" i="3"/>
  <c r="N187" i="3" s="1"/>
  <c r="O187" i="3" s="1"/>
  <c r="P187" i="3" s="1"/>
  <c r="X187" i="3" s="1"/>
  <c r="M207" i="3"/>
  <c r="T207" i="3" s="1"/>
  <c r="U207" i="3" s="1"/>
  <c r="V207" i="3" s="1"/>
  <c r="AB207" i="3" s="1"/>
  <c r="M201" i="3"/>
  <c r="N201" i="3" s="1"/>
  <c r="O201" i="3" s="1"/>
  <c r="P201" i="3" s="1"/>
  <c r="M188" i="3"/>
  <c r="N188" i="3" s="1"/>
  <c r="O188" i="3" s="1"/>
  <c r="P188" i="3" s="1"/>
  <c r="X188" i="3" s="1"/>
  <c r="M196" i="3"/>
  <c r="N196" i="3" s="1"/>
  <c r="O196" i="3" s="1"/>
  <c r="P196" i="3" s="1"/>
  <c r="X196" i="3" s="1"/>
  <c r="M211" i="3"/>
  <c r="T211" i="3" s="1"/>
  <c r="U211" i="3" s="1"/>
  <c r="V211" i="3" s="1"/>
  <c r="AB211" i="3" s="1"/>
  <c r="M210" i="3"/>
  <c r="T210" i="3" s="1"/>
  <c r="U210" i="3" s="1"/>
  <c r="V210" i="3" s="1"/>
  <c r="AB210" i="3" s="1"/>
  <c r="M218" i="3"/>
  <c r="T218" i="3" s="1"/>
  <c r="U218" i="3" s="1"/>
  <c r="V218" i="3" s="1"/>
  <c r="M221" i="3"/>
  <c r="T221" i="3" s="1"/>
  <c r="U221" i="3" s="1"/>
  <c r="V221" i="3" s="1"/>
  <c r="AB221" i="3" s="1"/>
  <c r="AC221" i="3" s="1"/>
  <c r="M215" i="3"/>
  <c r="N215" i="3" s="1"/>
  <c r="O215" i="3" s="1"/>
  <c r="P215" i="3" s="1"/>
  <c r="M246" i="3"/>
  <c r="N246" i="3" s="1"/>
  <c r="O246" i="3" s="1"/>
  <c r="P246" i="3" s="1"/>
  <c r="M220" i="3"/>
  <c r="T220" i="3" s="1"/>
  <c r="U220" i="3" s="1"/>
  <c r="V220" i="3" s="1"/>
  <c r="AB220" i="3" s="1"/>
  <c r="M228" i="3"/>
  <c r="N228" i="3" s="1"/>
  <c r="O228" i="3" s="1"/>
  <c r="P228" i="3" s="1"/>
  <c r="M247" i="3"/>
  <c r="N247" i="3" s="1"/>
  <c r="O247" i="3" s="1"/>
  <c r="P247" i="3" s="1"/>
  <c r="X247" i="3" s="1"/>
  <c r="M241" i="3"/>
  <c r="N241" i="3" s="1"/>
  <c r="O241" i="3" s="1"/>
  <c r="P241" i="3" s="1"/>
  <c r="M252" i="3"/>
  <c r="T252" i="3" s="1"/>
  <c r="U252" i="3" s="1"/>
  <c r="V252" i="3" s="1"/>
  <c r="AB252" i="3" s="1"/>
  <c r="M251" i="3"/>
  <c r="T251" i="3" s="1"/>
  <c r="U251" i="3" s="1"/>
  <c r="V251" i="3" s="1"/>
  <c r="AB251" i="3" s="1"/>
  <c r="M259" i="3"/>
  <c r="N259" i="3" s="1"/>
  <c r="O259" i="3" s="1"/>
  <c r="P259" i="3" s="1"/>
  <c r="M264" i="3"/>
  <c r="N264" i="3" s="1"/>
  <c r="O264" i="3" s="1"/>
  <c r="P264" i="3" s="1"/>
  <c r="X264" i="3" s="1"/>
  <c r="M87" i="3"/>
  <c r="N87" i="3" s="1"/>
  <c r="O87" i="3" s="1"/>
  <c r="P87" i="3" s="1"/>
  <c r="X87" i="3" s="1"/>
  <c r="M71" i="3"/>
  <c r="N71" i="3" s="1"/>
  <c r="O71" i="3" s="1"/>
  <c r="P71" i="3" s="1"/>
  <c r="X71" i="3" s="1"/>
  <c r="M65" i="3"/>
  <c r="N65" i="3" s="1"/>
  <c r="O65" i="3" s="1"/>
  <c r="P65" i="3" s="1"/>
  <c r="M92" i="3"/>
  <c r="N92" i="3" s="1"/>
  <c r="O92" i="3" s="1"/>
  <c r="P92" i="3" s="1"/>
  <c r="X92" i="3" s="1"/>
  <c r="Y92" i="3" s="1"/>
  <c r="M108" i="3"/>
  <c r="T108" i="3" s="1"/>
  <c r="U108" i="3" s="1"/>
  <c r="V108" i="3" s="1"/>
  <c r="AB108" i="3" s="1"/>
  <c r="M68" i="3"/>
  <c r="N68" i="3" s="1"/>
  <c r="O68" i="3" s="1"/>
  <c r="P68" i="3" s="1"/>
  <c r="M111" i="3"/>
  <c r="T111" i="3" s="1"/>
  <c r="U111" i="3" s="1"/>
  <c r="V111" i="3" s="1"/>
  <c r="AB111" i="3" s="1"/>
  <c r="M138" i="3"/>
  <c r="T138" i="3" s="1"/>
  <c r="U138" i="3" s="1"/>
  <c r="V138" i="3" s="1"/>
  <c r="AB138" i="3" s="1"/>
  <c r="AC138" i="3" s="1"/>
  <c r="M154" i="3"/>
  <c r="T154" i="3" s="1"/>
  <c r="U154" i="3" s="1"/>
  <c r="V154" i="3" s="1"/>
  <c r="AB154" i="3" s="1"/>
  <c r="M119" i="3"/>
  <c r="N119" i="3" s="1"/>
  <c r="O119" i="3" s="1"/>
  <c r="P119" i="3" s="1"/>
  <c r="M135" i="3"/>
  <c r="N135" i="3" s="1"/>
  <c r="O135" i="3" s="1"/>
  <c r="P135" i="3" s="1"/>
  <c r="X135" i="3" s="1"/>
  <c r="M151" i="3"/>
  <c r="T151" i="3" s="1"/>
  <c r="U151" i="3" s="1"/>
  <c r="V151" i="3" s="1"/>
  <c r="AB151" i="3" s="1"/>
  <c r="M167" i="3"/>
  <c r="T167" i="3" s="1"/>
  <c r="U167" i="3" s="1"/>
  <c r="V167" i="3" s="1"/>
  <c r="AB167" i="3" s="1"/>
  <c r="M176" i="3"/>
  <c r="T176" i="3" s="1"/>
  <c r="U176" i="3" s="1"/>
  <c r="V176" i="3" s="1"/>
  <c r="AB176" i="3" s="1"/>
  <c r="M164" i="3"/>
  <c r="N164" i="3" s="1"/>
  <c r="O164" i="3" s="1"/>
  <c r="P164" i="3" s="1"/>
  <c r="X164" i="3" s="1"/>
  <c r="M185" i="3"/>
  <c r="N185" i="3" s="1"/>
  <c r="O185" i="3" s="1"/>
  <c r="P185" i="3" s="1"/>
  <c r="M199" i="3"/>
  <c r="N199" i="3" s="1"/>
  <c r="O199" i="3" s="1"/>
  <c r="P199" i="3" s="1"/>
  <c r="M194" i="3"/>
  <c r="T194" i="3" s="1"/>
  <c r="U194" i="3" s="1"/>
  <c r="V194" i="3" s="1"/>
  <c r="AB194" i="3" s="1"/>
  <c r="M235" i="3"/>
  <c r="N235" i="3" s="1"/>
  <c r="O235" i="3" s="1"/>
  <c r="P235" i="3" s="1"/>
  <c r="X235" i="3" s="1"/>
  <c r="Y235" i="3" s="1"/>
  <c r="M227" i="3"/>
  <c r="T227" i="3" s="1"/>
  <c r="U227" i="3" s="1"/>
  <c r="V227" i="3" s="1"/>
  <c r="AB227" i="3" s="1"/>
  <c r="M234" i="3"/>
  <c r="T234" i="3" s="1"/>
  <c r="U234" i="3" s="1"/>
  <c r="V234" i="3" s="1"/>
  <c r="AB234" i="3" s="1"/>
  <c r="AC234" i="3" s="1"/>
  <c r="M81" i="3"/>
  <c r="T81" i="3" s="1"/>
  <c r="U81" i="3" s="1"/>
  <c r="V81" i="3" s="1"/>
  <c r="AB81" i="3" s="1"/>
  <c r="M95" i="3"/>
  <c r="N95" i="3" s="1"/>
  <c r="O95" i="3" s="1"/>
  <c r="P95" i="3" s="1"/>
  <c r="X95" i="3" s="1"/>
  <c r="M67" i="3"/>
  <c r="T67" i="3" s="1"/>
  <c r="U67" i="3" s="1"/>
  <c r="V67" i="3" s="1"/>
  <c r="AB67" i="3" s="1"/>
  <c r="M85" i="3"/>
  <c r="N85" i="3" s="1"/>
  <c r="O85" i="3" s="1"/>
  <c r="P85" i="3" s="1"/>
  <c r="M101" i="3"/>
  <c r="N101" i="3" s="1"/>
  <c r="O101" i="3" s="1"/>
  <c r="P101" i="3" s="1"/>
  <c r="X101" i="3" s="1"/>
  <c r="M82" i="3"/>
  <c r="N82" i="3" s="1"/>
  <c r="O82" i="3" s="1"/>
  <c r="P82" i="3" s="1"/>
  <c r="M88" i="3"/>
  <c r="T88" i="3" s="1"/>
  <c r="U88" i="3" s="1"/>
  <c r="V88" i="3" s="1"/>
  <c r="AB88" i="3" s="1"/>
  <c r="AC88" i="3" s="1"/>
  <c r="M96" i="3"/>
  <c r="M104" i="3"/>
  <c r="N104" i="3" s="1"/>
  <c r="O104" i="3" s="1"/>
  <c r="P104" i="3" s="1"/>
  <c r="M124" i="3"/>
  <c r="T124" i="3" s="1"/>
  <c r="U124" i="3" s="1"/>
  <c r="V124" i="3" s="1"/>
  <c r="AB124" i="3" s="1"/>
  <c r="M64" i="3"/>
  <c r="T64" i="3" s="1"/>
  <c r="U64" i="3" s="1"/>
  <c r="V64" i="3" s="1"/>
  <c r="M72" i="3"/>
  <c r="N72" i="3" s="1"/>
  <c r="O72" i="3" s="1"/>
  <c r="P72" i="3" s="1"/>
  <c r="M80" i="3"/>
  <c r="N80" i="3" s="1"/>
  <c r="O80" i="3" s="1"/>
  <c r="P80" i="3" s="1"/>
  <c r="X80" i="3" s="1"/>
  <c r="M116" i="3"/>
  <c r="T116" i="3" s="1"/>
  <c r="U116" i="3" s="1"/>
  <c r="V116" i="3" s="1"/>
  <c r="AB116" i="3" s="1"/>
  <c r="M183" i="3"/>
  <c r="N183" i="3" s="1"/>
  <c r="O183" i="3" s="1"/>
  <c r="P183" i="3" s="1"/>
  <c r="M142" i="3"/>
  <c r="N142" i="3" s="1"/>
  <c r="O142" i="3" s="1"/>
  <c r="P142" i="3" s="1"/>
  <c r="X142" i="3" s="1"/>
  <c r="M150" i="3"/>
  <c r="N150" i="3" s="1"/>
  <c r="O150" i="3" s="1"/>
  <c r="P150" i="3" s="1"/>
  <c r="X150" i="3" s="1"/>
  <c r="M181" i="3"/>
  <c r="N181" i="3" s="1"/>
  <c r="O181" i="3" s="1"/>
  <c r="P181" i="3" s="1"/>
  <c r="X181" i="3" s="1"/>
  <c r="Y181" i="3" s="1"/>
  <c r="M115" i="3"/>
  <c r="T115" i="3" s="1"/>
  <c r="U115" i="3" s="1"/>
  <c r="V115" i="3" s="1"/>
  <c r="M123" i="3"/>
  <c r="T123" i="3" s="1"/>
  <c r="U123" i="3" s="1"/>
  <c r="V123" i="3" s="1"/>
  <c r="AB123" i="3" s="1"/>
  <c r="AD123" i="3" s="1"/>
  <c r="M131" i="3"/>
  <c r="T131" i="3" s="1"/>
  <c r="U131" i="3" s="1"/>
  <c r="V131" i="3" s="1"/>
  <c r="AB131" i="3" s="1"/>
  <c r="AD131" i="3" s="1"/>
  <c r="M139" i="3"/>
  <c r="N139" i="3" s="1"/>
  <c r="O139" i="3" s="1"/>
  <c r="P139" i="3" s="1"/>
  <c r="M147" i="3"/>
  <c r="T147" i="3" s="1"/>
  <c r="U147" i="3" s="1"/>
  <c r="V147" i="3" s="1"/>
  <c r="AB147" i="3" s="1"/>
  <c r="M155" i="3"/>
  <c r="T155" i="3" s="1"/>
  <c r="U155" i="3" s="1"/>
  <c r="V155" i="3" s="1"/>
  <c r="AB155" i="3" s="1"/>
  <c r="AD155" i="3" s="1"/>
  <c r="M163" i="3"/>
  <c r="T163" i="3" s="1"/>
  <c r="U163" i="3" s="1"/>
  <c r="V163" i="3" s="1"/>
  <c r="AB163" i="3" s="1"/>
  <c r="M177" i="3"/>
  <c r="T177" i="3" s="1"/>
  <c r="U177" i="3" s="1"/>
  <c r="V177" i="3" s="1"/>
  <c r="AB177" i="3" s="1"/>
  <c r="M172" i="3"/>
  <c r="T172" i="3" s="1"/>
  <c r="U172" i="3" s="1"/>
  <c r="V172" i="3" s="1"/>
  <c r="AB172" i="3" s="1"/>
  <c r="AD172" i="3" s="1"/>
  <c r="M180" i="3"/>
  <c r="T180" i="3" s="1"/>
  <c r="U180" i="3" s="1"/>
  <c r="V180" i="3" s="1"/>
  <c r="AB180" i="3" s="1"/>
  <c r="AD180" i="3" s="1"/>
  <c r="M160" i="3"/>
  <c r="N160" i="3" s="1"/>
  <c r="O160" i="3" s="1"/>
  <c r="P160" i="3" s="1"/>
  <c r="M168" i="3"/>
  <c r="N168" i="3" s="1"/>
  <c r="O168" i="3" s="1"/>
  <c r="P168" i="3" s="1"/>
  <c r="X168" i="3" s="1"/>
  <c r="M208" i="3"/>
  <c r="T208" i="3" s="1"/>
  <c r="U208" i="3" s="1"/>
  <c r="V208" i="3" s="1"/>
  <c r="AB208" i="3" s="1"/>
  <c r="AC208" i="3" s="1"/>
  <c r="M189" i="3"/>
  <c r="T189" i="3" s="1"/>
  <c r="U189" i="3" s="1"/>
  <c r="V189" i="3" s="1"/>
  <c r="AB189" i="3" s="1"/>
  <c r="M195" i="3"/>
  <c r="N195" i="3" s="1"/>
  <c r="O195" i="3" s="1"/>
  <c r="P195" i="3" s="1"/>
  <c r="M202" i="3"/>
  <c r="T202" i="3" s="1"/>
  <c r="U202" i="3" s="1"/>
  <c r="V202" i="3" s="1"/>
  <c r="AB202" i="3" s="1"/>
  <c r="M190" i="3"/>
  <c r="T190" i="3" s="1"/>
  <c r="U190" i="3" s="1"/>
  <c r="V190" i="3" s="1"/>
  <c r="AB190" i="3" s="1"/>
  <c r="AD190" i="3" s="1"/>
  <c r="M198" i="3"/>
  <c r="N198" i="3" s="1"/>
  <c r="O198" i="3" s="1"/>
  <c r="P198" i="3" s="1"/>
  <c r="X198" i="3" s="1"/>
  <c r="Z198" i="3" s="1"/>
  <c r="M213" i="3"/>
  <c r="T213" i="3" s="1"/>
  <c r="U213" i="3" s="1"/>
  <c r="V213" i="3" s="1"/>
  <c r="AB213" i="3" s="1"/>
  <c r="M212" i="3"/>
  <c r="T212" i="3" s="1"/>
  <c r="U212" i="3" s="1"/>
  <c r="V212" i="3" s="1"/>
  <c r="AB212" i="3" s="1"/>
  <c r="M229" i="3"/>
  <c r="N229" i="3" s="1"/>
  <c r="O229" i="3" s="1"/>
  <c r="P229" i="3" s="1"/>
  <c r="X229" i="3" s="1"/>
  <c r="Z229" i="3" s="1"/>
  <c r="M223" i="3"/>
  <c r="T223" i="3" s="1"/>
  <c r="U223" i="3" s="1"/>
  <c r="V223" i="3" s="1"/>
  <c r="AB223" i="3" s="1"/>
  <c r="M217" i="3"/>
  <c r="N217" i="3" s="1"/>
  <c r="O217" i="3" s="1"/>
  <c r="P217" i="3" s="1"/>
  <c r="M236" i="3"/>
  <c r="T236" i="3" s="1"/>
  <c r="U236" i="3" s="1"/>
  <c r="V236" i="3" s="1"/>
  <c r="AB236" i="3" s="1"/>
  <c r="M222" i="3"/>
  <c r="N222" i="3" s="1"/>
  <c r="O222" i="3" s="1"/>
  <c r="P222" i="3" s="1"/>
  <c r="M230" i="3"/>
  <c r="N230" i="3" s="1"/>
  <c r="O230" i="3" s="1"/>
  <c r="P230" i="3" s="1"/>
  <c r="M248" i="3"/>
  <c r="T248" i="3" s="1"/>
  <c r="U248" i="3" s="1"/>
  <c r="V248" i="3" s="1"/>
  <c r="AB248" i="3" s="1"/>
  <c r="AD248" i="3" s="1"/>
  <c r="M243" i="3"/>
  <c r="T243" i="3" s="1"/>
  <c r="U243" i="3" s="1"/>
  <c r="V243" i="3" s="1"/>
  <c r="AB243" i="3" s="1"/>
  <c r="AD243" i="3" s="1"/>
  <c r="M254" i="3"/>
  <c r="T254" i="3" s="1"/>
  <c r="U254" i="3" s="1"/>
  <c r="V254" i="3" s="1"/>
  <c r="AB254" i="3" s="1"/>
  <c r="AD254" i="3" s="1"/>
  <c r="M253" i="3"/>
  <c r="N253" i="3" s="1"/>
  <c r="O253" i="3" s="1"/>
  <c r="P253" i="3" s="1"/>
  <c r="M258" i="3"/>
  <c r="N258" i="3" s="1"/>
  <c r="O258" i="3" s="1"/>
  <c r="P258" i="3" s="1"/>
  <c r="T95" i="3"/>
  <c r="U95" i="3" s="1"/>
  <c r="V95" i="3" s="1"/>
  <c r="AB95" i="3" s="1"/>
  <c r="AD95" i="3" s="1"/>
  <c r="N208" i="3"/>
  <c r="O208" i="3" s="1"/>
  <c r="P208" i="3" s="1"/>
  <c r="AT69" i="3"/>
  <c r="AU69" i="3" s="1"/>
  <c r="F116" i="3"/>
  <c r="H116" i="3" s="1"/>
  <c r="AO210" i="3"/>
  <c r="AP251" i="3"/>
  <c r="AP191" i="3"/>
  <c r="AP118" i="3"/>
  <c r="AP105" i="3"/>
  <c r="T171" i="3"/>
  <c r="U171" i="3" s="1"/>
  <c r="V171" i="3" s="1"/>
  <c r="AB171" i="3" s="1"/>
  <c r="AD171" i="3" s="1"/>
  <c r="K29" i="1"/>
  <c r="AO211" i="3"/>
  <c r="AP157" i="3"/>
  <c r="AP89" i="3"/>
  <c r="AP196" i="3"/>
  <c r="AP224" i="3"/>
  <c r="AP94" i="3"/>
  <c r="AP98" i="3"/>
  <c r="AO204" i="3"/>
  <c r="AO144" i="3"/>
  <c r="AO136" i="3"/>
  <c r="AO111" i="3"/>
  <c r="AO180" i="3"/>
  <c r="AO264" i="3"/>
  <c r="AP181" i="3"/>
  <c r="AO114" i="3"/>
  <c r="AP204" i="3"/>
  <c r="AP77" i="3"/>
  <c r="AO78" i="3"/>
  <c r="AO120" i="3"/>
  <c r="AO99" i="3"/>
  <c r="AP139" i="3"/>
  <c r="AO157" i="3"/>
  <c r="AO93" i="3"/>
  <c r="AO128" i="3"/>
  <c r="AO151" i="3"/>
  <c r="AP264" i="3"/>
  <c r="AO195" i="3"/>
  <c r="AO89" i="3"/>
  <c r="AO119" i="3"/>
  <c r="AO238" i="3"/>
  <c r="AO227" i="3"/>
  <c r="AO219" i="3"/>
  <c r="AO220" i="3"/>
  <c r="AO209" i="3"/>
  <c r="AO200" i="3"/>
  <c r="AO101" i="3"/>
  <c r="AO168" i="3"/>
  <c r="AO72" i="3"/>
  <c r="AO250" i="3"/>
  <c r="AO97" i="3"/>
  <c r="AP134" i="3"/>
  <c r="AP72" i="3"/>
  <c r="AO256" i="3"/>
  <c r="AP209" i="3"/>
  <c r="AP87" i="3"/>
  <c r="AO246" i="3"/>
  <c r="AO184" i="3"/>
  <c r="AO194" i="3"/>
  <c r="AP220" i="3"/>
  <c r="AP173" i="3"/>
  <c r="AP150" i="3"/>
  <c r="AP73" i="3"/>
  <c r="AO254" i="3"/>
  <c r="AO218" i="3"/>
  <c r="AO222" i="3"/>
  <c r="AO167" i="3"/>
  <c r="AO148" i="3"/>
  <c r="AO143" i="3"/>
  <c r="AP168" i="3"/>
  <c r="AP76" i="3"/>
  <c r="AO172" i="3"/>
  <c r="AO137" i="3"/>
  <c r="AO81" i="3"/>
  <c r="AP175" i="3"/>
  <c r="AP117" i="3"/>
  <c r="AO190" i="3"/>
  <c r="AO176" i="3"/>
  <c r="AO134" i="3"/>
  <c r="AP239" i="3"/>
  <c r="AT210" i="3"/>
  <c r="AU210" i="3" s="1"/>
  <c r="AT182" i="3"/>
  <c r="AU182" i="3" s="1"/>
  <c r="AT174" i="3"/>
  <c r="AU174" i="3" s="1"/>
  <c r="AT180" i="3"/>
  <c r="AU180" i="3" s="1"/>
  <c r="AT212" i="3"/>
  <c r="AU212" i="3" s="1"/>
  <c r="AT207" i="3"/>
  <c r="AU207" i="3" s="1"/>
  <c r="AW207" i="3" s="1"/>
  <c r="AT235" i="3"/>
  <c r="AU235" i="3" s="1"/>
  <c r="AP93" i="3"/>
  <c r="AP229" i="3"/>
  <c r="AO182" i="3"/>
  <c r="AO174" i="3"/>
  <c r="AO188" i="3"/>
  <c r="AO71" i="3"/>
  <c r="AO83" i="3"/>
  <c r="AP91" i="3"/>
  <c r="AP66" i="3"/>
  <c r="AO239" i="3"/>
  <c r="AO206" i="3"/>
  <c r="AO177" i="3"/>
  <c r="AO107" i="3"/>
  <c r="AO76" i="3"/>
  <c r="AP244" i="3"/>
  <c r="AP221" i="3"/>
  <c r="AP211" i="3"/>
  <c r="AP208" i="3"/>
  <c r="AP165" i="3"/>
  <c r="AP174" i="3"/>
  <c r="AP142" i="3"/>
  <c r="AO248" i="3"/>
  <c r="AO229" i="3"/>
  <c r="AO186" i="3"/>
  <c r="AO147" i="3"/>
  <c r="AO73" i="3"/>
  <c r="AO103" i="3"/>
  <c r="AO198" i="3"/>
  <c r="AO152" i="3"/>
  <c r="AO77" i="3"/>
  <c r="AO68" i="3"/>
  <c r="AP171" i="3"/>
  <c r="AP113" i="3"/>
  <c r="AO173" i="3"/>
  <c r="AO130" i="3"/>
  <c r="AO158" i="3"/>
  <c r="AO129" i="3"/>
  <c r="AO121" i="3"/>
  <c r="AO88" i="3"/>
  <c r="AO85" i="3"/>
  <c r="AO244" i="3"/>
  <c r="AO163" i="3"/>
  <c r="AO161" i="3"/>
  <c r="AO192" i="3"/>
  <c r="AO118" i="3"/>
  <c r="AO109" i="3"/>
  <c r="AO87" i="3"/>
  <c r="AO66" i="3"/>
  <c r="AO86" i="3"/>
  <c r="AO64" i="3"/>
  <c r="AO263" i="3"/>
  <c r="AO261" i="3"/>
  <c r="AP252" i="3"/>
  <c r="AP158" i="3"/>
  <c r="AO140" i="3"/>
  <c r="AP260" i="3"/>
  <c r="AP241" i="3"/>
  <c r="AP163" i="3"/>
  <c r="AO260" i="3"/>
  <c r="AO252" i="3"/>
  <c r="AO113" i="3"/>
  <c r="AO145" i="3"/>
  <c r="AO225" i="3"/>
  <c r="AP261" i="3"/>
  <c r="AP231" i="3"/>
  <c r="AP107" i="3"/>
  <c r="AP141" i="3"/>
  <c r="AO231" i="3"/>
  <c r="AO142" i="3"/>
  <c r="AO141" i="3"/>
  <c r="G100" i="3"/>
  <c r="F261" i="3"/>
  <c r="H261" i="3" s="1"/>
  <c r="F207" i="3"/>
  <c r="G207" i="3" s="1"/>
  <c r="F170" i="3"/>
  <c r="G170" i="3" s="1"/>
  <c r="F253" i="3"/>
  <c r="G253" i="3" s="1"/>
  <c r="AT188" i="3"/>
  <c r="AU188" i="3" s="1"/>
  <c r="AT181" i="3"/>
  <c r="AU181" i="3" s="1"/>
  <c r="AT130" i="3"/>
  <c r="AU130" i="3" s="1"/>
  <c r="AW130" i="3" s="1"/>
  <c r="AT111" i="3"/>
  <c r="AU111" i="3" s="1"/>
  <c r="AT264" i="3"/>
  <c r="AU264" i="3" s="1"/>
  <c r="AT72" i="3"/>
  <c r="AU72" i="3" s="1"/>
  <c r="AT190" i="3"/>
  <c r="AU190" i="3" s="1"/>
  <c r="AW190" i="3" s="1"/>
  <c r="AT95" i="3"/>
  <c r="AU95" i="3" s="1"/>
  <c r="AT239" i="3"/>
  <c r="AU239" i="3" s="1"/>
  <c r="AT218" i="3"/>
  <c r="AU218" i="3" s="1"/>
  <c r="AT140" i="3"/>
  <c r="AU140" i="3" s="1"/>
  <c r="AW140" i="3" s="1"/>
  <c r="AT152" i="3"/>
  <c r="AU152" i="3" s="1"/>
  <c r="AW152" i="3" s="1"/>
  <c r="AT260" i="3"/>
  <c r="AU260" i="3" s="1"/>
  <c r="AT164" i="3"/>
  <c r="AU164" i="3" s="1"/>
  <c r="AT148" i="3"/>
  <c r="AU148" i="3" s="1"/>
  <c r="AW148" i="3" s="1"/>
  <c r="AT115" i="3"/>
  <c r="AU115" i="3" s="1"/>
  <c r="AW115" i="3" s="1"/>
  <c r="AT197" i="3"/>
  <c r="AU197" i="3" s="1"/>
  <c r="AW197" i="3" s="1"/>
  <c r="AT198" i="3"/>
  <c r="AU198" i="3" s="1"/>
  <c r="AT172" i="3"/>
  <c r="AU172" i="3" s="1"/>
  <c r="AT128" i="3"/>
  <c r="AU128" i="3" s="1"/>
  <c r="AW128" i="3" s="1"/>
  <c r="AY128" i="3" s="1"/>
  <c r="AT151" i="3"/>
  <c r="AU151" i="3" s="1"/>
  <c r="AT105" i="3"/>
  <c r="AU105" i="3" s="1"/>
  <c r="AP256" i="3"/>
  <c r="F158" i="3"/>
  <c r="G158" i="3" s="1"/>
  <c r="AP122" i="3"/>
  <c r="AP114" i="3"/>
  <c r="AP248" i="3"/>
  <c r="AP218" i="3"/>
  <c r="AP85" i="3"/>
  <c r="K28" i="1"/>
  <c r="H218" i="3"/>
  <c r="F246" i="3"/>
  <c r="G246" i="3" s="1"/>
  <c r="F217" i="3"/>
  <c r="G217" i="3" s="1"/>
  <c r="F201" i="3"/>
  <c r="G201" i="3" s="1"/>
  <c r="J72" i="2"/>
  <c r="P72" i="2"/>
  <c r="N72" i="2"/>
  <c r="O72" i="2"/>
  <c r="I72" i="2"/>
  <c r="M72" i="2"/>
  <c r="K72" i="2"/>
  <c r="H181" i="3"/>
  <c r="F222" i="3"/>
  <c r="G222" i="3" s="1"/>
  <c r="F152" i="3"/>
  <c r="H152" i="3" s="1"/>
  <c r="AT131" i="3"/>
  <c r="AU131" i="3" s="1"/>
  <c r="AT77" i="3"/>
  <c r="AU77" i="3" s="1"/>
  <c r="AT68" i="3"/>
  <c r="AU68" i="3" s="1"/>
  <c r="AW68" i="3" s="1"/>
  <c r="AO237" i="3"/>
  <c r="AT228" i="3"/>
  <c r="AU228" i="3" s="1"/>
  <c r="AW228" i="3" s="1"/>
  <c r="F161" i="3"/>
  <c r="AP236" i="3"/>
  <c r="AO193" i="3"/>
  <c r="AO159" i="3"/>
  <c r="AT147" i="3"/>
  <c r="AU147" i="3" s="1"/>
  <c r="AP127" i="3"/>
  <c r="AO110" i="3"/>
  <c r="AP179" i="3"/>
  <c r="AO258" i="3"/>
  <c r="AO191" i="3"/>
  <c r="AT165" i="3"/>
  <c r="AU165" i="3" s="1"/>
  <c r="AO79" i="3"/>
  <c r="AP230" i="3"/>
  <c r="AO202" i="3"/>
  <c r="AO127" i="3"/>
  <c r="G254" i="3"/>
  <c r="H188" i="3"/>
  <c r="G188" i="3"/>
  <c r="AP262" i="3"/>
  <c r="AT123" i="3"/>
  <c r="AU123" i="3" s="1"/>
  <c r="AW123" i="3" s="1"/>
  <c r="AP111" i="3"/>
  <c r="AO226" i="3"/>
  <c r="AT120" i="3"/>
  <c r="AU120" i="3" s="1"/>
  <c r="AT184" i="3"/>
  <c r="AU184" i="3" s="1"/>
  <c r="AW184" i="3" s="1"/>
  <c r="AY184" i="3" s="1"/>
  <c r="AT187" i="3"/>
  <c r="AU187" i="3" s="1"/>
  <c r="AO179" i="3"/>
  <c r="AO228" i="3"/>
  <c r="AO175" i="3"/>
  <c r="AP78" i="3"/>
  <c r="AP243" i="3"/>
  <c r="AP234" i="3"/>
  <c r="AP126" i="3"/>
  <c r="AP112" i="3"/>
  <c r="F259" i="3"/>
  <c r="G259" i="3" s="1"/>
  <c r="F64" i="3"/>
  <c r="H64" i="3" s="1"/>
  <c r="AT262" i="3"/>
  <c r="AU262" i="3" s="1"/>
  <c r="AO249" i="3"/>
  <c r="AO240" i="3"/>
  <c r="AT248" i="3"/>
  <c r="AU248" i="3" s="1"/>
  <c r="AO221" i="3"/>
  <c r="AO201" i="3"/>
  <c r="AO132" i="3"/>
  <c r="AO124" i="3"/>
  <c r="AO116" i="3"/>
  <c r="AO155" i="3"/>
  <c r="AO257" i="3"/>
  <c r="AT226" i="3"/>
  <c r="AU226" i="3" s="1"/>
  <c r="AT110" i="3"/>
  <c r="AU110" i="3" s="1"/>
  <c r="AW110" i="3" s="1"/>
  <c r="AP189" i="3"/>
  <c r="AP79" i="3"/>
  <c r="F219" i="3"/>
  <c r="G219" i="3" s="1"/>
  <c r="F214" i="3"/>
  <c r="G214" i="3" s="1"/>
  <c r="F163" i="3"/>
  <c r="H163" i="3" s="1"/>
  <c r="AP121" i="3"/>
  <c r="AT216" i="3"/>
  <c r="AU216" i="3" s="1"/>
  <c r="AW216" i="3" s="1"/>
  <c r="AX216" i="3" s="1"/>
  <c r="AO156" i="3"/>
  <c r="AO150" i="3"/>
  <c r="AO149" i="3"/>
  <c r="AO178" i="3"/>
  <c r="AT227" i="3"/>
  <c r="AU227" i="3" s="1"/>
  <c r="AT219" i="3"/>
  <c r="AU219" i="3" s="1"/>
  <c r="AW219" i="3" s="1"/>
  <c r="AT208" i="3"/>
  <c r="AU208" i="3" s="1"/>
  <c r="AT179" i="3"/>
  <c r="AU179" i="3" s="1"/>
  <c r="AT158" i="3"/>
  <c r="AU158" i="3" s="1"/>
  <c r="F136" i="3"/>
  <c r="G136" i="3" s="1"/>
  <c r="AO205" i="3"/>
  <c r="AT168" i="3"/>
  <c r="AU168" i="3" s="1"/>
  <c r="AP202" i="3"/>
  <c r="AP178" i="3"/>
  <c r="AP70" i="3"/>
  <c r="AO251" i="3"/>
  <c r="AT176" i="3"/>
  <c r="AU176" i="3" s="1"/>
  <c r="AT192" i="3"/>
  <c r="AU192" i="3" s="1"/>
  <c r="AW192" i="3" s="1"/>
  <c r="AO126" i="3"/>
  <c r="AT133" i="3"/>
  <c r="AU133" i="3" s="1"/>
  <c r="AW133" i="3" s="1"/>
  <c r="AT125" i="3"/>
  <c r="AU125" i="3" s="1"/>
  <c r="AW125" i="3" s="1"/>
  <c r="AO92" i="3"/>
  <c r="AO105" i="3"/>
  <c r="AT89" i="3"/>
  <c r="AU89" i="3" s="1"/>
  <c r="AO95" i="3"/>
  <c r="AT74" i="3"/>
  <c r="AU74" i="3" s="1"/>
  <c r="AP233" i="3"/>
  <c r="AP185" i="3"/>
  <c r="AO253" i="3"/>
  <c r="AT236" i="3"/>
  <c r="AU236" i="3" s="1"/>
  <c r="AO183" i="3"/>
  <c r="AO185" i="3"/>
  <c r="AP172" i="3"/>
  <c r="AP95" i="3"/>
  <c r="F154" i="3"/>
  <c r="H154" i="3" s="1"/>
  <c r="AT246" i="3"/>
  <c r="AU246" i="3" s="1"/>
  <c r="AW246" i="3" s="1"/>
  <c r="AO216" i="3"/>
  <c r="AO199" i="3"/>
  <c r="AO165" i="3"/>
  <c r="AP187" i="3"/>
  <c r="AP146" i="3"/>
  <c r="AO122" i="3"/>
  <c r="AT122" i="3"/>
  <c r="AU122" i="3" s="1"/>
  <c r="AO153" i="3"/>
  <c r="AT112" i="3"/>
  <c r="AU112" i="3" s="1"/>
  <c r="AO104" i="3"/>
  <c r="AT79" i="3"/>
  <c r="AU79" i="3" s="1"/>
  <c r="AP247" i="3"/>
  <c r="AO230" i="3"/>
  <c r="AU194" i="3"/>
  <c r="AP253" i="3"/>
  <c r="AP183" i="3"/>
  <c r="AP144" i="3"/>
  <c r="F249" i="3"/>
  <c r="H249" i="3" s="1"/>
  <c r="F216" i="3"/>
  <c r="H216" i="3" s="1"/>
  <c r="AO242" i="3"/>
  <c r="AT250" i="3"/>
  <c r="AU250" i="3" s="1"/>
  <c r="AW250" i="3" s="1"/>
  <c r="AO223" i="3"/>
  <c r="AT202" i="3"/>
  <c r="AU202" i="3" s="1"/>
  <c r="AO169" i="3"/>
  <c r="AT149" i="3"/>
  <c r="AU149" i="3" s="1"/>
  <c r="AW149" i="3" s="1"/>
  <c r="AT141" i="3"/>
  <c r="AU141" i="3" s="1"/>
  <c r="AT97" i="3"/>
  <c r="AU97" i="3" s="1"/>
  <c r="AO139" i="3"/>
  <c r="AT87" i="3"/>
  <c r="AU87" i="3" s="1"/>
  <c r="AO70" i="3"/>
  <c r="AO74" i="3"/>
  <c r="AP64" i="3"/>
  <c r="AT261" i="3"/>
  <c r="AU261" i="3" s="1"/>
  <c r="AT253" i="3"/>
  <c r="AU253" i="3" s="1"/>
  <c r="AO233" i="3"/>
  <c r="AT177" i="3"/>
  <c r="AU177" i="3" s="1"/>
  <c r="AT119" i="3"/>
  <c r="AU119" i="3" s="1"/>
  <c r="AT91" i="3"/>
  <c r="AU91" i="3" s="1"/>
  <c r="AT64" i="3"/>
  <c r="AU64" i="3" s="1"/>
  <c r="G173" i="3"/>
  <c r="F212" i="3"/>
  <c r="G212" i="3" s="1"/>
  <c r="F223" i="3"/>
  <c r="H223" i="3" s="1"/>
  <c r="F171" i="3"/>
  <c r="H171" i="3" s="1"/>
  <c r="F82" i="3"/>
  <c r="H82" i="3" s="1"/>
  <c r="F202" i="3"/>
  <c r="G202" i="3" s="1"/>
  <c r="F203" i="3"/>
  <c r="G203" i="3" s="1"/>
  <c r="F129" i="3"/>
  <c r="G129" i="3" s="1"/>
  <c r="F111" i="3"/>
  <c r="G111" i="3" s="1"/>
  <c r="F236" i="3"/>
  <c r="G236" i="3" s="1"/>
  <c r="F192" i="3"/>
  <c r="H192" i="3" s="1"/>
  <c r="F175" i="3"/>
  <c r="H175" i="3" s="1"/>
  <c r="F109" i="3"/>
  <c r="G109" i="3" s="1"/>
  <c r="F211" i="3"/>
  <c r="G211" i="3" s="1"/>
  <c r="F145" i="3"/>
  <c r="G145" i="3" s="1"/>
  <c r="F238" i="3"/>
  <c r="G238" i="3" s="1"/>
  <c r="F208" i="3"/>
  <c r="H208" i="3" s="1"/>
  <c r="F137" i="3"/>
  <c r="H137" i="3" s="1"/>
  <c r="F138" i="3"/>
  <c r="G138" i="3" s="1"/>
  <c r="F189" i="3"/>
  <c r="H189" i="3" s="1"/>
  <c r="F88" i="3"/>
  <c r="H88" i="3" s="1"/>
  <c r="F231" i="3"/>
  <c r="H231" i="3" s="1"/>
  <c r="F186" i="3"/>
  <c r="G186" i="3" s="1"/>
  <c r="G252" i="3"/>
  <c r="H252" i="3"/>
  <c r="G262" i="3"/>
  <c r="H262" i="3"/>
  <c r="G248" i="3"/>
  <c r="H248" i="3"/>
  <c r="H243" i="3"/>
  <c r="G243" i="3"/>
  <c r="H142" i="3"/>
  <c r="G142" i="3"/>
  <c r="G81" i="3"/>
  <c r="H81" i="3"/>
  <c r="H240" i="3"/>
  <c r="G240" i="3"/>
  <c r="G147" i="3"/>
  <c r="H147" i="3"/>
  <c r="H125" i="3"/>
  <c r="G125" i="3"/>
  <c r="G169" i="3"/>
  <c r="H169" i="3"/>
  <c r="H164" i="3"/>
  <c r="G164" i="3"/>
  <c r="H120" i="3"/>
  <c r="G120" i="3"/>
  <c r="G210" i="3"/>
  <c r="H210" i="3"/>
  <c r="H73" i="3"/>
  <c r="G73" i="3"/>
  <c r="H209" i="3"/>
  <c r="G209" i="3"/>
  <c r="H126" i="3"/>
  <c r="G126" i="3"/>
  <c r="G94" i="3"/>
  <c r="H94" i="3"/>
  <c r="H75" i="3"/>
  <c r="G75" i="3"/>
  <c r="H69" i="3"/>
  <c r="G69" i="3"/>
  <c r="H190" i="3"/>
  <c r="G190" i="3"/>
  <c r="H146" i="3"/>
  <c r="G146" i="3"/>
  <c r="G143" i="3"/>
  <c r="H143" i="3"/>
  <c r="H168" i="3"/>
  <c r="G168" i="3"/>
  <c r="H118" i="3"/>
  <c r="G118" i="3"/>
  <c r="G79" i="3"/>
  <c r="H162" i="3"/>
  <c r="G162" i="3"/>
  <c r="H127" i="3"/>
  <c r="G127" i="3"/>
  <c r="G184" i="3"/>
  <c r="H184" i="3"/>
  <c r="G174" i="3"/>
  <c r="H174" i="3"/>
  <c r="G95" i="3"/>
  <c r="H95" i="3"/>
  <c r="AT106" i="3"/>
  <c r="AU106" i="3" s="1"/>
  <c r="AT90" i="3"/>
  <c r="AU90" i="3" s="1"/>
  <c r="AW90" i="3" s="1"/>
  <c r="G83" i="3"/>
  <c r="H83" i="3"/>
  <c r="H263" i="3"/>
  <c r="H245" i="3"/>
  <c r="G245" i="3"/>
  <c r="H226" i="3"/>
  <c r="G226" i="3"/>
  <c r="G229" i="3"/>
  <c r="H229" i="3"/>
  <c r="F185" i="3"/>
  <c r="H114" i="3"/>
  <c r="G114" i="3"/>
  <c r="H80" i="3"/>
  <c r="G80" i="3"/>
  <c r="AO207" i="3"/>
  <c r="AO106" i="3"/>
  <c r="AO90" i="3"/>
  <c r="AT103" i="3"/>
  <c r="AU103" i="3" s="1"/>
  <c r="AW103" i="3" s="1"/>
  <c r="F107" i="3"/>
  <c r="AT78" i="3"/>
  <c r="AU78" i="3" s="1"/>
  <c r="AT247" i="3"/>
  <c r="AU247" i="3" s="1"/>
  <c r="AT170" i="3"/>
  <c r="AU170" i="3" s="1"/>
  <c r="AW170" i="3" s="1"/>
  <c r="AT99" i="3"/>
  <c r="AU99" i="3" s="1"/>
  <c r="AW99" i="3" s="1"/>
  <c r="G191" i="3"/>
  <c r="H191" i="3"/>
  <c r="H170" i="3"/>
  <c r="G135" i="3"/>
  <c r="H135" i="3"/>
  <c r="F172" i="3"/>
  <c r="F144" i="3"/>
  <c r="AT263" i="3"/>
  <c r="AU263" i="3" s="1"/>
  <c r="AW263" i="3" s="1"/>
  <c r="AT238" i="3"/>
  <c r="AU238" i="3" s="1"/>
  <c r="AW238" i="3" s="1"/>
  <c r="AO232" i="3"/>
  <c r="AT199" i="3"/>
  <c r="AU199" i="3" s="1"/>
  <c r="AW199" i="3" s="1"/>
  <c r="AT191" i="3"/>
  <c r="AU191" i="3" s="1"/>
  <c r="AT157" i="3"/>
  <c r="AU157" i="3" s="1"/>
  <c r="AT113" i="3"/>
  <c r="AU113" i="3" s="1"/>
  <c r="AO96" i="3"/>
  <c r="H98" i="3"/>
  <c r="F233" i="3"/>
  <c r="AT102" i="3"/>
  <c r="AU102" i="3" s="1"/>
  <c r="AP254" i="3"/>
  <c r="AP167" i="3"/>
  <c r="AP164" i="3"/>
  <c r="H247" i="3"/>
  <c r="G247" i="3"/>
  <c r="F242" i="3"/>
  <c r="G123" i="3"/>
  <c r="G182" i="3"/>
  <c r="H182" i="3"/>
  <c r="F89" i="3"/>
  <c r="AO203" i="3"/>
  <c r="AP259" i="3"/>
  <c r="AP235" i="3"/>
  <c r="AP210" i="3"/>
  <c r="AP203" i="3"/>
  <c r="AP180" i="3"/>
  <c r="AP147" i="3"/>
  <c r="AP129" i="3"/>
  <c r="F260" i="3"/>
  <c r="G256" i="3"/>
  <c r="H256" i="3"/>
  <c r="F221" i="3"/>
  <c r="H194" i="3"/>
  <c r="G194" i="3"/>
  <c r="F195" i="3"/>
  <c r="G166" i="3"/>
  <c r="G193" i="3"/>
  <c r="H193" i="3"/>
  <c r="F153" i="3"/>
  <c r="H121" i="3"/>
  <c r="F72" i="3"/>
  <c r="AP151" i="3"/>
  <c r="G108" i="3"/>
  <c r="H108" i="3"/>
  <c r="AT256" i="3"/>
  <c r="AU256" i="3" s="1"/>
  <c r="AT249" i="3"/>
  <c r="AU249" i="3" s="1"/>
  <c r="AW249" i="3" s="1"/>
  <c r="AT254" i="3"/>
  <c r="AU254" i="3" s="1"/>
  <c r="AT240" i="3"/>
  <c r="AU240" i="3" s="1"/>
  <c r="AW240" i="3" s="1"/>
  <c r="AT229" i="3"/>
  <c r="AU229" i="3" s="1"/>
  <c r="AT221" i="3"/>
  <c r="AU221" i="3" s="1"/>
  <c r="AO243" i="3"/>
  <c r="AO234" i="3"/>
  <c r="AO217" i="3"/>
  <c r="AT193" i="3"/>
  <c r="AU193" i="3" s="1"/>
  <c r="AW193" i="3" s="1"/>
  <c r="AT186" i="3"/>
  <c r="AU186" i="3" s="1"/>
  <c r="AW186" i="3" s="1"/>
  <c r="AT167" i="3"/>
  <c r="AU167" i="3" s="1"/>
  <c r="AT159" i="3"/>
  <c r="AU159" i="3" s="1"/>
  <c r="AW159" i="3" s="1"/>
  <c r="AO164" i="3"/>
  <c r="AT132" i="3"/>
  <c r="AU132" i="3" s="1"/>
  <c r="AW132" i="3" s="1"/>
  <c r="AT124" i="3"/>
  <c r="AU124" i="3" s="1"/>
  <c r="AW124" i="3" s="1"/>
  <c r="AT116" i="3"/>
  <c r="AU116" i="3" s="1"/>
  <c r="AW116" i="3" s="1"/>
  <c r="AT160" i="3"/>
  <c r="AU160" i="3" s="1"/>
  <c r="AW160" i="3" s="1"/>
  <c r="AT155" i="3"/>
  <c r="AU155" i="3" s="1"/>
  <c r="AW155" i="3" s="1"/>
  <c r="AT114" i="3"/>
  <c r="AU114" i="3" s="1"/>
  <c r="F110" i="3"/>
  <c r="F99" i="3"/>
  <c r="AT127" i="3"/>
  <c r="AU127" i="3" s="1"/>
  <c r="AP194" i="3"/>
  <c r="F258" i="3"/>
  <c r="H251" i="3"/>
  <c r="G251" i="3"/>
  <c r="F200" i="3"/>
  <c r="F156" i="3"/>
  <c r="F176" i="3"/>
  <c r="F119" i="3"/>
  <c r="F128" i="3"/>
  <c r="AO208" i="3"/>
  <c r="AT200" i="3"/>
  <c r="AU200" i="3" s="1"/>
  <c r="AW200" i="3" s="1"/>
  <c r="AT154" i="3"/>
  <c r="AU154" i="3" s="1"/>
  <c r="AW154" i="3" s="1"/>
  <c r="AT146" i="3"/>
  <c r="AU146" i="3" s="1"/>
  <c r="AT138" i="3"/>
  <c r="AU138" i="3" s="1"/>
  <c r="AW138" i="3" s="1"/>
  <c r="AT153" i="3"/>
  <c r="AU153" i="3" s="1"/>
  <c r="AW153" i="3" s="1"/>
  <c r="AT145" i="3"/>
  <c r="AU145" i="3" s="1"/>
  <c r="AW145" i="3" s="1"/>
  <c r="AT137" i="3"/>
  <c r="AU137" i="3" s="1"/>
  <c r="AW137" i="3" s="1"/>
  <c r="AT104" i="3"/>
  <c r="AU104" i="3" s="1"/>
  <c r="AW104" i="3" s="1"/>
  <c r="F96" i="3"/>
  <c r="AT83" i="3"/>
  <c r="AU83" i="3" s="1"/>
  <c r="AW83" i="3" s="1"/>
  <c r="AT101" i="3"/>
  <c r="AU101" i="3" s="1"/>
  <c r="AW101" i="3" s="1"/>
  <c r="AT93" i="3"/>
  <c r="AU93" i="3" s="1"/>
  <c r="AT85" i="3"/>
  <c r="AU85" i="3" s="1"/>
  <c r="AP225" i="3"/>
  <c r="AP69" i="3"/>
  <c r="F230" i="3"/>
  <c r="F225" i="3"/>
  <c r="AT230" i="3"/>
  <c r="AU230" i="3" s="1"/>
  <c r="AP237" i="3"/>
  <c r="AP212" i="3"/>
  <c r="AP109" i="3"/>
  <c r="AP75" i="3"/>
  <c r="F239" i="3"/>
  <c r="F213" i="3"/>
  <c r="F205" i="3"/>
  <c r="F155" i="3"/>
  <c r="H115" i="3"/>
  <c r="G115" i="3"/>
  <c r="H132" i="3"/>
  <c r="G132" i="3"/>
  <c r="F74" i="3"/>
  <c r="AP74" i="3"/>
  <c r="AP106" i="3"/>
  <c r="AT259" i="3"/>
  <c r="AU259" i="3" s="1"/>
  <c r="AT251" i="3"/>
  <c r="AU251" i="3" s="1"/>
  <c r="AO255" i="3"/>
  <c r="AT242" i="3"/>
  <c r="AU242" i="3" s="1"/>
  <c r="AW242" i="3" s="1"/>
  <c r="AT231" i="3"/>
  <c r="AU231" i="3" s="1"/>
  <c r="AT223" i="3"/>
  <c r="AU223" i="3" s="1"/>
  <c r="AW223" i="3" s="1"/>
  <c r="AO245" i="3"/>
  <c r="AT237" i="3"/>
  <c r="AU237" i="3" s="1"/>
  <c r="AO215" i="3"/>
  <c r="AT195" i="3"/>
  <c r="AU195" i="3" s="1"/>
  <c r="AW195" i="3" s="1"/>
  <c r="AO241" i="3"/>
  <c r="AO196" i="3"/>
  <c r="AT161" i="3"/>
  <c r="AU161" i="3" s="1"/>
  <c r="AW161" i="3" s="1"/>
  <c r="AO166" i="3"/>
  <c r="AT126" i="3"/>
  <c r="AU126" i="3" s="1"/>
  <c r="AT118" i="3"/>
  <c r="AU118" i="3" s="1"/>
  <c r="AT162" i="3"/>
  <c r="AU162" i="3" s="1"/>
  <c r="AW162" i="3" s="1"/>
  <c r="AT109" i="3"/>
  <c r="AU109" i="3" s="1"/>
  <c r="AT108" i="3"/>
  <c r="AU108" i="3" s="1"/>
  <c r="AW108" i="3" s="1"/>
  <c r="AT67" i="3"/>
  <c r="AU67" i="3" s="1"/>
  <c r="AW67" i="3" s="1"/>
  <c r="H77" i="3"/>
  <c r="G77" i="3"/>
  <c r="AT139" i="3"/>
  <c r="AU139" i="3" s="1"/>
  <c r="AT98" i="3"/>
  <c r="AU98" i="3" s="1"/>
  <c r="AT82" i="3"/>
  <c r="AU82" i="3" s="1"/>
  <c r="AW82" i="3" s="1"/>
  <c r="AT65" i="3"/>
  <c r="AU65" i="3" s="1"/>
  <c r="AW65" i="3" s="1"/>
  <c r="AT70" i="3"/>
  <c r="AU70" i="3" s="1"/>
  <c r="F86" i="3"/>
  <c r="AP143" i="3"/>
  <c r="AP206" i="3"/>
  <c r="AP177" i="3"/>
  <c r="G199" i="3"/>
  <c r="F91" i="3"/>
  <c r="AT214" i="3"/>
  <c r="AU214" i="3" s="1"/>
  <c r="AT204" i="3"/>
  <c r="AU204" i="3" s="1"/>
  <c r="AT178" i="3"/>
  <c r="AU178" i="3" s="1"/>
  <c r="AT185" i="3"/>
  <c r="AU185" i="3" s="1"/>
  <c r="AT107" i="3"/>
  <c r="AU107" i="3" s="1"/>
  <c r="G235" i="3"/>
  <c r="H235" i="3"/>
  <c r="F112" i="3"/>
  <c r="H70" i="3"/>
  <c r="G70" i="3"/>
  <c r="AO187" i="3"/>
  <c r="AO112" i="3"/>
  <c r="AT96" i="3"/>
  <c r="AU96" i="3" s="1"/>
  <c r="AW96" i="3" s="1"/>
  <c r="H133" i="3"/>
  <c r="G133" i="3"/>
  <c r="AO102" i="3"/>
  <c r="AP226" i="3"/>
  <c r="AP198" i="3"/>
  <c r="H215" i="3"/>
  <c r="F197" i="3"/>
  <c r="F160" i="3"/>
  <c r="F178" i="3"/>
  <c r="F139" i="3"/>
  <c r="H124" i="3"/>
  <c r="G124" i="3"/>
  <c r="F159" i="3"/>
  <c r="F105" i="3"/>
  <c r="AO259" i="3"/>
  <c r="AT245" i="3"/>
  <c r="AU245" i="3" s="1"/>
  <c r="AW245" i="3" s="1"/>
  <c r="AO224" i="3"/>
  <c r="AO212" i="3"/>
  <c r="AT203" i="3"/>
  <c r="AU203" i="3" s="1"/>
  <c r="AT241" i="3"/>
  <c r="AU241" i="3" s="1"/>
  <c r="AT175" i="3"/>
  <c r="AU175" i="3" s="1"/>
  <c r="AT166" i="3"/>
  <c r="AU166" i="3" s="1"/>
  <c r="AW166" i="3" s="1"/>
  <c r="AT150" i="3"/>
  <c r="AU150" i="3" s="1"/>
  <c r="AT142" i="3"/>
  <c r="AU142" i="3" s="1"/>
  <c r="AT134" i="3"/>
  <c r="AU134" i="3" s="1"/>
  <c r="AT100" i="3"/>
  <c r="AU100" i="3" s="1"/>
  <c r="AW100" i="3" s="1"/>
  <c r="G92" i="3"/>
  <c r="H92" i="3"/>
  <c r="AO84" i="3"/>
  <c r="N261" i="3"/>
  <c r="O261" i="3" s="1"/>
  <c r="P261" i="3" s="1"/>
  <c r="T261" i="3"/>
  <c r="U261" i="3" s="1"/>
  <c r="V261" i="3" s="1"/>
  <c r="AB261" i="3" s="1"/>
  <c r="H150" i="3"/>
  <c r="G150" i="3"/>
  <c r="G264" i="3"/>
  <c r="H264" i="3"/>
  <c r="G216" i="3"/>
  <c r="F183" i="3"/>
  <c r="F76" i="3"/>
  <c r="AO94" i="3"/>
  <c r="H130" i="3"/>
  <c r="G130" i="3"/>
  <c r="H67" i="3"/>
  <c r="G67" i="3"/>
  <c r="F177" i="3"/>
  <c r="G165" i="3"/>
  <c r="F157" i="3"/>
  <c r="G87" i="3"/>
  <c r="H87" i="3"/>
  <c r="F140" i="3"/>
  <c r="AT243" i="3"/>
  <c r="AU243" i="3" s="1"/>
  <c r="AT234" i="3"/>
  <c r="AU234" i="3" s="1"/>
  <c r="AT222" i="3"/>
  <c r="AU222" i="3" s="1"/>
  <c r="AW222" i="3" s="1"/>
  <c r="AT217" i="3"/>
  <c r="AU217" i="3" s="1"/>
  <c r="AW217" i="3" s="1"/>
  <c r="AT201" i="3"/>
  <c r="AU201" i="3" s="1"/>
  <c r="AW201" i="3" s="1"/>
  <c r="AT213" i="3"/>
  <c r="AU213" i="3" s="1"/>
  <c r="AW213" i="3" s="1"/>
  <c r="AO160" i="3"/>
  <c r="AO131" i="3"/>
  <c r="AO123" i="3"/>
  <c r="AO115" i="3"/>
  <c r="AU257" i="3"/>
  <c r="AW257" i="3" s="1"/>
  <c r="AO197" i="3"/>
  <c r="AT143" i="3"/>
  <c r="AU143" i="3" s="1"/>
  <c r="AP258" i="3"/>
  <c r="AP227" i="3"/>
  <c r="AP156" i="3"/>
  <c r="H224" i="3"/>
  <c r="G224" i="3"/>
  <c r="F227" i="3"/>
  <c r="G244" i="3"/>
  <c r="H244" i="3"/>
  <c r="F206" i="3"/>
  <c r="F151" i="3"/>
  <c r="H101" i="3"/>
  <c r="AP102" i="3"/>
  <c r="AT258" i="3"/>
  <c r="AU258" i="3" s="1"/>
  <c r="AT252" i="3"/>
  <c r="AU252" i="3" s="1"/>
  <c r="AT209" i="3"/>
  <c r="AU209" i="3" s="1"/>
  <c r="AT173" i="3"/>
  <c r="AU173" i="3" s="1"/>
  <c r="AO154" i="3"/>
  <c r="AO146" i="3"/>
  <c r="AO138" i="3"/>
  <c r="AT129" i="3"/>
  <c r="AU129" i="3" s="1"/>
  <c r="AT121" i="3"/>
  <c r="AU121" i="3" s="1"/>
  <c r="AT88" i="3"/>
  <c r="AU88" i="3" s="1"/>
  <c r="AW88" i="3" s="1"/>
  <c r="AT71" i="3"/>
  <c r="AU71" i="3" s="1"/>
  <c r="AW71" i="3" s="1"/>
  <c r="F257" i="3"/>
  <c r="AT244" i="3"/>
  <c r="AU244" i="3" s="1"/>
  <c r="AT225" i="3"/>
  <c r="AU225" i="3" s="1"/>
  <c r="AT163" i="3"/>
  <c r="AU163" i="3" s="1"/>
  <c r="AT156" i="3"/>
  <c r="AU156" i="3" s="1"/>
  <c r="AO69" i="3"/>
  <c r="AT81" i="3"/>
  <c r="AU81" i="3" s="1"/>
  <c r="AW81" i="3" s="1"/>
  <c r="AP182" i="3"/>
  <c r="AP120" i="3"/>
  <c r="F255" i="3"/>
  <c r="G250" i="3"/>
  <c r="H250" i="3"/>
  <c r="F228" i="3"/>
  <c r="G204" i="3"/>
  <c r="H204" i="3"/>
  <c r="G179" i="3"/>
  <c r="H179" i="3"/>
  <c r="G167" i="3"/>
  <c r="H167" i="3"/>
  <c r="H131" i="3"/>
  <c r="G131" i="3"/>
  <c r="F97" i="3"/>
  <c r="F148" i="3"/>
  <c r="AP131" i="3"/>
  <c r="AT255" i="3"/>
  <c r="AU255" i="3" s="1"/>
  <c r="AW255" i="3" s="1"/>
  <c r="AT224" i="3"/>
  <c r="AU224" i="3" s="1"/>
  <c r="AT215" i="3"/>
  <c r="AU215" i="3" s="1"/>
  <c r="AW215" i="3" s="1"/>
  <c r="AT196" i="3"/>
  <c r="AU196" i="3" s="1"/>
  <c r="AT169" i="3"/>
  <c r="AU169" i="3" s="1"/>
  <c r="AW169" i="3" s="1"/>
  <c r="AO162" i="3"/>
  <c r="AO133" i="3"/>
  <c r="AO125" i="3"/>
  <c r="AO117" i="3"/>
  <c r="AO108" i="3"/>
  <c r="AT92" i="3"/>
  <c r="AU92" i="3" s="1"/>
  <c r="AW92" i="3" s="1"/>
  <c r="F90" i="3"/>
  <c r="AO98" i="3"/>
  <c r="AO82" i="3"/>
  <c r="F102" i="3"/>
  <c r="H198" i="3"/>
  <c r="G198" i="3"/>
  <c r="G149" i="3"/>
  <c r="H149" i="3"/>
  <c r="F68" i="3"/>
  <c r="AT233" i="3"/>
  <c r="AU233" i="3" s="1"/>
  <c r="AT171" i="3"/>
  <c r="AU171" i="3" s="1"/>
  <c r="AO100" i="3"/>
  <c r="AT84" i="3"/>
  <c r="AU84" i="3" s="1"/>
  <c r="AW84" i="3" s="1"/>
  <c r="AT75" i="3"/>
  <c r="AU75" i="3" s="1"/>
  <c r="F65" i="3"/>
  <c r="G106" i="3"/>
  <c r="H106" i="3"/>
  <c r="AT66" i="3"/>
  <c r="AU66" i="3" s="1"/>
  <c r="AO236" i="3"/>
  <c r="AO214" i="3"/>
  <c r="AT206" i="3"/>
  <c r="AU206" i="3" s="1"/>
  <c r="AO189" i="3"/>
  <c r="AT183" i="3"/>
  <c r="AU183" i="3" s="1"/>
  <c r="AT144" i="3"/>
  <c r="AU144" i="3" s="1"/>
  <c r="AT136" i="3"/>
  <c r="AU136" i="3" s="1"/>
  <c r="AT135" i="3"/>
  <c r="AU135" i="3" s="1"/>
  <c r="AW135" i="3" s="1"/>
  <c r="AO135" i="3"/>
  <c r="AT94" i="3"/>
  <c r="AU94" i="3" s="1"/>
  <c r="AT86" i="3"/>
  <c r="AU86" i="3" s="1"/>
  <c r="AO91" i="3"/>
  <c r="AT76" i="3"/>
  <c r="AU76" i="3" s="1"/>
  <c r="X232" i="3" l="1"/>
  <c r="X117" i="3"/>
  <c r="H85" i="3"/>
  <c r="G196" i="3"/>
  <c r="AX80" i="3"/>
  <c r="G122" i="3"/>
  <c r="G66" i="3"/>
  <c r="H187" i="3"/>
  <c r="X85" i="3"/>
  <c r="Z85" i="3" s="1"/>
  <c r="AW119" i="3"/>
  <c r="AY119" i="3" s="1"/>
  <c r="AW188" i="3"/>
  <c r="AY188" i="3" s="1"/>
  <c r="N203" i="3"/>
  <c r="O203" i="3" s="1"/>
  <c r="P203" i="3" s="1"/>
  <c r="AW136" i="3"/>
  <c r="AX136" i="3" s="1"/>
  <c r="AW97" i="3"/>
  <c r="AX97" i="3" s="1"/>
  <c r="B32" i="2"/>
  <c r="C32" i="2" s="1"/>
  <c r="G141" i="3"/>
  <c r="H232" i="3"/>
  <c r="X103" i="3"/>
  <c r="Y103" i="3" s="1"/>
  <c r="H84" i="3"/>
  <c r="G134" i="3"/>
  <c r="H104" i="3"/>
  <c r="H103" i="3"/>
  <c r="H237" i="3"/>
  <c r="H220" i="3"/>
  <c r="H113" i="3"/>
  <c r="H78" i="3"/>
  <c r="G117" i="3"/>
  <c r="H180" i="3"/>
  <c r="X199" i="3"/>
  <c r="Y199" i="3" s="1"/>
  <c r="AW176" i="3"/>
  <c r="AX176" i="3" s="1"/>
  <c r="AW86" i="3"/>
  <c r="AX86" i="3" s="1"/>
  <c r="AW214" i="3"/>
  <c r="AY214" i="3" s="1"/>
  <c r="G71" i="3"/>
  <c r="G116" i="3"/>
  <c r="X215" i="3"/>
  <c r="Z215" i="3" s="1"/>
  <c r="X122" i="3"/>
  <c r="Y122" i="3" s="1"/>
  <c r="H234" i="3"/>
  <c r="G261" i="3"/>
  <c r="X165" i="3"/>
  <c r="Z165" i="3" s="1"/>
  <c r="X261" i="3"/>
  <c r="Z261" i="3" s="1"/>
  <c r="H253" i="3"/>
  <c r="G93" i="3"/>
  <c r="G241" i="3"/>
  <c r="H203" i="3"/>
  <c r="X104" i="3"/>
  <c r="Z104" i="3" s="1"/>
  <c r="H136" i="3"/>
  <c r="X241" i="3"/>
  <c r="Z241" i="3" s="1"/>
  <c r="N263" i="3"/>
  <c r="O263" i="3" s="1"/>
  <c r="P263" i="3" s="1"/>
  <c r="X263" i="3" s="1"/>
  <c r="Z263" i="3" s="1"/>
  <c r="B25" i="2"/>
  <c r="C25" i="2" s="1"/>
  <c r="B15" i="2"/>
  <c r="C15" i="2" s="1"/>
  <c r="B17" i="2"/>
  <c r="C17" i="2" s="1"/>
  <c r="B31" i="2"/>
  <c r="C31" i="2" s="1"/>
  <c r="B19" i="2"/>
  <c r="C19" i="2" s="1"/>
  <c r="T99" i="3"/>
  <c r="U99" i="3" s="1"/>
  <c r="V99" i="3" s="1"/>
  <c r="AB99" i="3" s="1"/>
  <c r="AD99" i="3" s="1"/>
  <c r="B21" i="2"/>
  <c r="C21" i="2" s="1"/>
  <c r="B40" i="2"/>
  <c r="C40" i="2" s="1"/>
  <c r="B34" i="2"/>
  <c r="C34" i="2" s="1"/>
  <c r="B14" i="2"/>
  <c r="C14" i="2" s="1"/>
  <c r="B36" i="2"/>
  <c r="C36" i="2" s="1"/>
  <c r="B28" i="2"/>
  <c r="C28" i="2" s="1"/>
  <c r="Q69" i="2"/>
  <c r="B27" i="2"/>
  <c r="C27" i="2" s="1"/>
  <c r="B22" i="2"/>
  <c r="C22" i="2" s="1"/>
  <c r="B29" i="2"/>
  <c r="C29" i="2" s="1"/>
  <c r="T117" i="3"/>
  <c r="U117" i="3" s="1"/>
  <c r="V117" i="3" s="1"/>
  <c r="AB117" i="3" s="1"/>
  <c r="AF117" i="3" s="1"/>
  <c r="B26" i="2"/>
  <c r="C26" i="2" s="1"/>
  <c r="B95" i="1"/>
  <c r="B41" i="1" s="1"/>
  <c r="N66" i="3"/>
  <c r="O66" i="3" s="1"/>
  <c r="P66" i="3" s="1"/>
  <c r="X66" i="3" s="1"/>
  <c r="Y66" i="3" s="1"/>
  <c r="B23" i="2"/>
  <c r="C23" i="2" s="1"/>
  <c r="T232" i="3"/>
  <c r="U232" i="3" s="1"/>
  <c r="V232" i="3" s="1"/>
  <c r="AB232" i="3" s="1"/>
  <c r="AD232" i="3" s="1"/>
  <c r="B30" i="2"/>
  <c r="C30" i="2" s="1"/>
  <c r="T214" i="3"/>
  <c r="U214" i="3" s="1"/>
  <c r="V214" i="3" s="1"/>
  <c r="AB214" i="3" s="1"/>
  <c r="AC214" i="3" s="1"/>
  <c r="N162" i="3"/>
  <c r="O162" i="3" s="1"/>
  <c r="P162" i="3" s="1"/>
  <c r="X162" i="3" s="1"/>
  <c r="AF162" i="3" s="1"/>
  <c r="N256" i="3"/>
  <c r="O256" i="3" s="1"/>
  <c r="P256" i="3" s="1"/>
  <c r="X256" i="3" s="1"/>
  <c r="Y256" i="3" s="1"/>
  <c r="T109" i="3"/>
  <c r="U109" i="3" s="1"/>
  <c r="V109" i="3" s="1"/>
  <c r="AB109" i="3" s="1"/>
  <c r="AC109" i="3" s="1"/>
  <c r="B38" i="2"/>
  <c r="C38" i="2" s="1"/>
  <c r="B37" i="2"/>
  <c r="C37" i="2" s="1"/>
  <c r="Q70" i="2"/>
  <c r="Q71" i="2"/>
  <c r="B35" i="2"/>
  <c r="C35" i="2" s="1"/>
  <c r="B16" i="2"/>
  <c r="C16" i="2" s="1"/>
  <c r="B20" i="2"/>
  <c r="C20" i="2" s="1"/>
  <c r="B24" i="2"/>
  <c r="C24" i="2" s="1"/>
  <c r="B18" i="2"/>
  <c r="C18" i="2" s="1"/>
  <c r="B33" i="2"/>
  <c r="C33" i="2" s="1"/>
  <c r="Q68" i="2"/>
  <c r="B39" i="2"/>
  <c r="C39" i="2" s="1"/>
  <c r="N179" i="3"/>
  <c r="O179" i="3" s="1"/>
  <c r="P179" i="3" s="1"/>
  <c r="X179" i="3" s="1"/>
  <c r="Y179" i="3" s="1"/>
  <c r="N202" i="3"/>
  <c r="O202" i="3" s="1"/>
  <c r="P202" i="3" s="1"/>
  <c r="X202" i="3" s="1"/>
  <c r="AF202" i="3" s="1"/>
  <c r="T122" i="3"/>
  <c r="U122" i="3" s="1"/>
  <c r="V122" i="3" s="1"/>
  <c r="AB122" i="3" s="1"/>
  <c r="AC122" i="3" s="1"/>
  <c r="N248" i="3"/>
  <c r="O248" i="3" s="1"/>
  <c r="P248" i="3" s="1"/>
  <c r="X248" i="3" s="1"/>
  <c r="Z248" i="3" s="1"/>
  <c r="N110" i="3"/>
  <c r="O110" i="3" s="1"/>
  <c r="P110" i="3" s="1"/>
  <c r="X110" i="3" s="1"/>
  <c r="Y110" i="3" s="1"/>
  <c r="T74" i="3"/>
  <c r="U74" i="3" s="1"/>
  <c r="V74" i="3" s="1"/>
  <c r="AB74" i="3" s="1"/>
  <c r="AC74" i="3" s="1"/>
  <c r="T182" i="3"/>
  <c r="U182" i="3" s="1"/>
  <c r="V182" i="3" s="1"/>
  <c r="AB182" i="3" s="1"/>
  <c r="AC182" i="3" s="1"/>
  <c r="N237" i="3"/>
  <c r="O237" i="3" s="1"/>
  <c r="P237" i="3" s="1"/>
  <c r="X237" i="3" s="1"/>
  <c r="AF237" i="3" s="1"/>
  <c r="T65" i="3"/>
  <c r="U65" i="3" s="1"/>
  <c r="V65" i="3" s="1"/>
  <c r="AB65" i="3" s="1"/>
  <c r="AD65" i="3" s="1"/>
  <c r="N79" i="3"/>
  <c r="O79" i="3" s="1"/>
  <c r="P79" i="3" s="1"/>
  <c r="X79" i="3" s="1"/>
  <c r="AF79" i="3" s="1"/>
  <c r="N141" i="3"/>
  <c r="O141" i="3" s="1"/>
  <c r="P141" i="3" s="1"/>
  <c r="X141" i="3" s="1"/>
  <c r="AF141" i="3" s="1"/>
  <c r="T135" i="3"/>
  <c r="U135" i="3" s="1"/>
  <c r="V135" i="3" s="1"/>
  <c r="AB135" i="3" s="1"/>
  <c r="AC135" i="3" s="1"/>
  <c r="T78" i="3"/>
  <c r="U78" i="3" s="1"/>
  <c r="V78" i="3" s="1"/>
  <c r="AB78" i="3" s="1"/>
  <c r="AF78" i="3" s="1"/>
  <c r="T82" i="3"/>
  <c r="U82" i="3" s="1"/>
  <c r="V82" i="3" s="1"/>
  <c r="AB82" i="3" s="1"/>
  <c r="AD82" i="3" s="1"/>
  <c r="N207" i="3"/>
  <c r="O207" i="3" s="1"/>
  <c r="P207" i="3" s="1"/>
  <c r="X207" i="3" s="1"/>
  <c r="Y207" i="3" s="1"/>
  <c r="T148" i="3"/>
  <c r="U148" i="3" s="1"/>
  <c r="V148" i="3" s="1"/>
  <c r="AB148" i="3" s="1"/>
  <c r="AD148" i="3" s="1"/>
  <c r="T102" i="3"/>
  <c r="U102" i="3" s="1"/>
  <c r="V102" i="3" s="1"/>
  <c r="AB102" i="3" s="1"/>
  <c r="AC102" i="3" s="1"/>
  <c r="T247" i="3"/>
  <c r="U247" i="3" s="1"/>
  <c r="V247" i="3" s="1"/>
  <c r="AB247" i="3" s="1"/>
  <c r="AF247" i="3" s="1"/>
  <c r="N73" i="3"/>
  <c r="O73" i="3" s="1"/>
  <c r="P73" i="3" s="1"/>
  <c r="X73" i="3" s="1"/>
  <c r="Z73" i="3" s="1"/>
  <c r="T136" i="3"/>
  <c r="U136" i="3" s="1"/>
  <c r="V136" i="3" s="1"/>
  <c r="AB136" i="3" s="1"/>
  <c r="AD136" i="3" s="1"/>
  <c r="T168" i="3"/>
  <c r="U168" i="3" s="1"/>
  <c r="V168" i="3" s="1"/>
  <c r="AB168" i="3" s="1"/>
  <c r="AC168" i="3" s="1"/>
  <c r="T158" i="3"/>
  <c r="U158" i="3" s="1"/>
  <c r="V158" i="3" s="1"/>
  <c r="AB158" i="3" s="1"/>
  <c r="AD158" i="3" s="1"/>
  <c r="T191" i="3"/>
  <c r="U191" i="3" s="1"/>
  <c r="V191" i="3" s="1"/>
  <c r="AB191" i="3" s="1"/>
  <c r="AC191" i="3" s="1"/>
  <c r="N238" i="3"/>
  <c r="O238" i="3" s="1"/>
  <c r="P238" i="3" s="1"/>
  <c r="X238" i="3" s="1"/>
  <c r="Z238" i="3" s="1"/>
  <c r="N177" i="3"/>
  <c r="O177" i="3" s="1"/>
  <c r="P177" i="3" s="1"/>
  <c r="X177" i="3" s="1"/>
  <c r="AF177" i="3" s="1"/>
  <c r="T77" i="3"/>
  <c r="U77" i="3" s="1"/>
  <c r="V77" i="3" s="1"/>
  <c r="AB77" i="3" s="1"/>
  <c r="AC77" i="3" s="1"/>
  <c r="N260" i="3"/>
  <c r="O260" i="3" s="1"/>
  <c r="P260" i="3" s="1"/>
  <c r="X260" i="3" s="1"/>
  <c r="N192" i="3"/>
  <c r="O192" i="3" s="1"/>
  <c r="P192" i="3" s="1"/>
  <c r="X192" i="3" s="1"/>
  <c r="Y192" i="3" s="1"/>
  <c r="N225" i="3"/>
  <c r="O225" i="3" s="1"/>
  <c r="P225" i="3" s="1"/>
  <c r="X225" i="3" s="1"/>
  <c r="N174" i="3"/>
  <c r="O174" i="3" s="1"/>
  <c r="P174" i="3" s="1"/>
  <c r="X174" i="3" s="1"/>
  <c r="Y174" i="3" s="1"/>
  <c r="N204" i="3"/>
  <c r="O204" i="3" s="1"/>
  <c r="P204" i="3" s="1"/>
  <c r="X204" i="3" s="1"/>
  <c r="Z204" i="3" s="1"/>
  <c r="N138" i="3"/>
  <c r="O138" i="3" s="1"/>
  <c r="P138" i="3" s="1"/>
  <c r="X138" i="3" s="1"/>
  <c r="T152" i="3"/>
  <c r="U152" i="3" s="1"/>
  <c r="V152" i="3" s="1"/>
  <c r="AB152" i="3" s="1"/>
  <c r="AD152" i="3" s="1"/>
  <c r="N151" i="3"/>
  <c r="O151" i="3" s="1"/>
  <c r="P151" i="3" s="1"/>
  <c r="X151" i="3" s="1"/>
  <c r="AF151" i="3" s="1"/>
  <c r="N126" i="3"/>
  <c r="O126" i="3" s="1"/>
  <c r="P126" i="3" s="1"/>
  <c r="X126" i="3" s="1"/>
  <c r="AF126" i="3" s="1"/>
  <c r="N163" i="3"/>
  <c r="O163" i="3" s="1"/>
  <c r="P163" i="3" s="1"/>
  <c r="X163" i="3" s="1"/>
  <c r="Y163" i="3" s="1"/>
  <c r="T71" i="3"/>
  <c r="U71" i="3" s="1"/>
  <c r="V71" i="3" s="1"/>
  <c r="AB71" i="3" s="1"/>
  <c r="AF71" i="3" s="1"/>
  <c r="T195" i="3"/>
  <c r="U195" i="3" s="1"/>
  <c r="V195" i="3" s="1"/>
  <c r="AB195" i="3" s="1"/>
  <c r="AD195" i="3" s="1"/>
  <c r="N90" i="3"/>
  <c r="O90" i="3" s="1"/>
  <c r="P90" i="3" s="1"/>
  <c r="X90" i="3" s="1"/>
  <c r="N132" i="3"/>
  <c r="O132" i="3" s="1"/>
  <c r="P132" i="3" s="1"/>
  <c r="X132" i="3" s="1"/>
  <c r="Z132" i="3" s="1"/>
  <c r="T160" i="3"/>
  <c r="U160" i="3" s="1"/>
  <c r="V160" i="3" s="1"/>
  <c r="AB160" i="3" s="1"/>
  <c r="AD160" i="3" s="1"/>
  <c r="N94" i="3"/>
  <c r="O94" i="3" s="1"/>
  <c r="P94" i="3" s="1"/>
  <c r="X94" i="3" s="1"/>
  <c r="AF94" i="3" s="1"/>
  <c r="T119" i="3"/>
  <c r="U119" i="3" s="1"/>
  <c r="V119" i="3" s="1"/>
  <c r="AB119" i="3" s="1"/>
  <c r="AD119" i="3" s="1"/>
  <c r="T157" i="3"/>
  <c r="U157" i="3" s="1"/>
  <c r="V157" i="3" s="1"/>
  <c r="AB157" i="3" s="1"/>
  <c r="AC157" i="3" s="1"/>
  <c r="N245" i="3"/>
  <c r="O245" i="3" s="1"/>
  <c r="P245" i="3" s="1"/>
  <c r="X245" i="3" s="1"/>
  <c r="AF245" i="3" s="1"/>
  <c r="N154" i="3"/>
  <c r="O154" i="3" s="1"/>
  <c r="P154" i="3" s="1"/>
  <c r="X154" i="3" s="1"/>
  <c r="Z154" i="3" s="1"/>
  <c r="N233" i="3"/>
  <c r="O233" i="3" s="1"/>
  <c r="P233" i="3" s="1"/>
  <c r="X233" i="3" s="1"/>
  <c r="AF233" i="3" s="1"/>
  <c r="N120" i="3"/>
  <c r="O120" i="3" s="1"/>
  <c r="P120" i="3" s="1"/>
  <c r="X120" i="3" s="1"/>
  <c r="Y120" i="3" s="1"/>
  <c r="N83" i="3"/>
  <c r="O83" i="3" s="1"/>
  <c r="P83" i="3" s="1"/>
  <c r="X83" i="3" s="1"/>
  <c r="Y83" i="3" s="1"/>
  <c r="T130" i="3"/>
  <c r="U130" i="3" s="1"/>
  <c r="V130" i="3" s="1"/>
  <c r="AB130" i="3" s="1"/>
  <c r="AC130" i="3" s="1"/>
  <c r="N197" i="3"/>
  <c r="O197" i="3" s="1"/>
  <c r="P197" i="3" s="1"/>
  <c r="X197" i="3" s="1"/>
  <c r="N184" i="3"/>
  <c r="O184" i="3" s="1"/>
  <c r="P184" i="3" s="1"/>
  <c r="X184" i="3" s="1"/>
  <c r="AF184" i="3" s="1"/>
  <c r="T89" i="3"/>
  <c r="U89" i="3" s="1"/>
  <c r="V89" i="3" s="1"/>
  <c r="AB89" i="3" s="1"/>
  <c r="AC89" i="3" s="1"/>
  <c r="T200" i="3"/>
  <c r="U200" i="3" s="1"/>
  <c r="V200" i="3" s="1"/>
  <c r="AB200" i="3" s="1"/>
  <c r="AC200" i="3" s="1"/>
  <c r="T133" i="3"/>
  <c r="U133" i="3" s="1"/>
  <c r="V133" i="3" s="1"/>
  <c r="AB133" i="3" s="1"/>
  <c r="AD133" i="3" s="1"/>
  <c r="N64" i="3"/>
  <c r="O64" i="3" s="1"/>
  <c r="P64" i="3" s="1"/>
  <c r="X64" i="3" s="1"/>
  <c r="Z64" i="3" s="1"/>
  <c r="T206" i="3"/>
  <c r="U206" i="3" s="1"/>
  <c r="V206" i="3" s="1"/>
  <c r="AB206" i="3" s="1"/>
  <c r="AD206" i="3" s="1"/>
  <c r="N91" i="3"/>
  <c r="O91" i="3" s="1"/>
  <c r="P91" i="3" s="1"/>
  <c r="X91" i="3" s="1"/>
  <c r="Z91" i="3" s="1"/>
  <c r="T156" i="3"/>
  <c r="U156" i="3" s="1"/>
  <c r="V156" i="3" s="1"/>
  <c r="AB156" i="3" s="1"/>
  <c r="AC156" i="3" s="1"/>
  <c r="T185" i="3"/>
  <c r="U185" i="3" s="1"/>
  <c r="V185" i="3" s="1"/>
  <c r="AB185" i="3" s="1"/>
  <c r="AC185" i="3" s="1"/>
  <c r="N115" i="3"/>
  <c r="O115" i="3" s="1"/>
  <c r="P115" i="3" s="1"/>
  <c r="X115" i="3" s="1"/>
  <c r="Y115" i="3" s="1"/>
  <c r="T229" i="3"/>
  <c r="U229" i="3" s="1"/>
  <c r="V229" i="3" s="1"/>
  <c r="AB229" i="3" s="1"/>
  <c r="AD229" i="3" s="1"/>
  <c r="N118" i="3"/>
  <c r="O118" i="3" s="1"/>
  <c r="P118" i="3" s="1"/>
  <c r="X118" i="3" s="1"/>
  <c r="Y118" i="3" s="1"/>
  <c r="T255" i="3"/>
  <c r="U255" i="3" s="1"/>
  <c r="V255" i="3" s="1"/>
  <c r="AB255" i="3" s="1"/>
  <c r="AC255" i="3" s="1"/>
  <c r="T144" i="3"/>
  <c r="U144" i="3" s="1"/>
  <c r="V144" i="3" s="1"/>
  <c r="AB144" i="3" s="1"/>
  <c r="AC144" i="3" s="1"/>
  <c r="N76" i="3"/>
  <c r="O76" i="3" s="1"/>
  <c r="P76" i="3" s="1"/>
  <c r="X76" i="3" s="1"/>
  <c r="Y76" i="3" s="1"/>
  <c r="N67" i="3"/>
  <c r="O67" i="3" s="1"/>
  <c r="P67" i="3" s="1"/>
  <c r="X67" i="3" s="1"/>
  <c r="Y67" i="3" s="1"/>
  <c r="T69" i="3"/>
  <c r="U69" i="3" s="1"/>
  <c r="V69" i="3" s="1"/>
  <c r="AB69" i="3" s="1"/>
  <c r="AC69" i="3" s="1"/>
  <c r="T175" i="3"/>
  <c r="U175" i="3" s="1"/>
  <c r="V175" i="3" s="1"/>
  <c r="AB175" i="3" s="1"/>
  <c r="AC175" i="3" s="1"/>
  <c r="T241" i="3"/>
  <c r="U241" i="3" s="1"/>
  <c r="V241" i="3" s="1"/>
  <c r="AB241" i="3" s="1"/>
  <c r="AC241" i="3" s="1"/>
  <c r="T125" i="3"/>
  <c r="U125" i="3" s="1"/>
  <c r="V125" i="3" s="1"/>
  <c r="AB125" i="3" s="1"/>
  <c r="AD125" i="3" s="1"/>
  <c r="N98" i="3"/>
  <c r="O98" i="3" s="1"/>
  <c r="P98" i="3" s="1"/>
  <c r="X98" i="3" s="1"/>
  <c r="Y98" i="3" s="1"/>
  <c r="T246" i="3"/>
  <c r="U246" i="3" s="1"/>
  <c r="V246" i="3" s="1"/>
  <c r="AZ246" i="3" s="1"/>
  <c r="T240" i="3"/>
  <c r="U240" i="3" s="1"/>
  <c r="V240" i="3" s="1"/>
  <c r="AB240" i="3" s="1"/>
  <c r="AC240" i="3" s="1"/>
  <c r="N147" i="3"/>
  <c r="O147" i="3" s="1"/>
  <c r="P147" i="3" s="1"/>
  <c r="X147" i="3" s="1"/>
  <c r="AF147" i="3" s="1"/>
  <c r="AG147" i="3" s="1"/>
  <c r="N254" i="3"/>
  <c r="O254" i="3" s="1"/>
  <c r="P254" i="3" s="1"/>
  <c r="X254" i="3" s="1"/>
  <c r="Z254" i="3" s="1"/>
  <c r="N127" i="3"/>
  <c r="O127" i="3" s="1"/>
  <c r="P127" i="3" s="1"/>
  <c r="X127" i="3" s="1"/>
  <c r="Z127" i="3" s="1"/>
  <c r="N137" i="3"/>
  <c r="O137" i="3" s="1"/>
  <c r="P137" i="3" s="1"/>
  <c r="X137" i="3" s="1"/>
  <c r="Y137" i="3" s="1"/>
  <c r="N149" i="3"/>
  <c r="O149" i="3" s="1"/>
  <c r="P149" i="3" s="1"/>
  <c r="X149" i="3" s="1"/>
  <c r="Z149" i="3" s="1"/>
  <c r="T106" i="3"/>
  <c r="U106" i="3" s="1"/>
  <c r="V106" i="3" s="1"/>
  <c r="AB106" i="3" s="1"/>
  <c r="AD106" i="3" s="1"/>
  <c r="N242" i="3"/>
  <c r="O242" i="3" s="1"/>
  <c r="P242" i="3" s="1"/>
  <c r="X242" i="3" s="1"/>
  <c r="T165" i="3"/>
  <c r="U165" i="3" s="1"/>
  <c r="V165" i="3" s="1"/>
  <c r="AB165" i="3" s="1"/>
  <c r="AC165" i="3" s="1"/>
  <c r="N143" i="3"/>
  <c r="O143" i="3" s="1"/>
  <c r="P143" i="3" s="1"/>
  <c r="X143" i="3" s="1"/>
  <c r="AF143" i="3" s="1"/>
  <c r="T201" i="3"/>
  <c r="U201" i="3" s="1"/>
  <c r="V201" i="3" s="1"/>
  <c r="AB201" i="3" s="1"/>
  <c r="AD201" i="3" s="1"/>
  <c r="N93" i="3"/>
  <c r="O93" i="3" s="1"/>
  <c r="P93" i="3" s="1"/>
  <c r="X93" i="3" s="1"/>
  <c r="Z93" i="3" s="1"/>
  <c r="N249" i="3"/>
  <c r="O249" i="3" s="1"/>
  <c r="P249" i="3" s="1"/>
  <c r="X249" i="3" s="1"/>
  <c r="Y249" i="3" s="1"/>
  <c r="N224" i="3"/>
  <c r="O224" i="3" s="1"/>
  <c r="P224" i="3" s="1"/>
  <c r="X224" i="3" s="1"/>
  <c r="Y224" i="3" s="1"/>
  <c r="T105" i="3"/>
  <c r="U105" i="3" s="1"/>
  <c r="V105" i="3" s="1"/>
  <c r="AB105" i="3" s="1"/>
  <c r="AC105" i="3" s="1"/>
  <c r="N231" i="3"/>
  <c r="O231" i="3" s="1"/>
  <c r="P231" i="3" s="1"/>
  <c r="X231" i="3" s="1"/>
  <c r="Z231" i="3" s="1"/>
  <c r="T222" i="3"/>
  <c r="U222" i="3" s="1"/>
  <c r="V222" i="3" s="1"/>
  <c r="AB222" i="3" s="1"/>
  <c r="AC222" i="3" s="1"/>
  <c r="N116" i="3"/>
  <c r="O116" i="3" s="1"/>
  <c r="P116" i="3" s="1"/>
  <c r="X116" i="3" s="1"/>
  <c r="AF116" i="3" s="1"/>
  <c r="N236" i="3"/>
  <c r="O236" i="3" s="1"/>
  <c r="P236" i="3" s="1"/>
  <c r="X236" i="3" s="1"/>
  <c r="Y236" i="3" s="1"/>
  <c r="N211" i="3"/>
  <c r="O211" i="3" s="1"/>
  <c r="P211" i="3" s="1"/>
  <c r="X211" i="3" s="1"/>
  <c r="Z211" i="3" s="1"/>
  <c r="T209" i="3"/>
  <c r="U209" i="3" s="1"/>
  <c r="V209" i="3" s="1"/>
  <c r="AB209" i="3" s="1"/>
  <c r="AC209" i="3" s="1"/>
  <c r="T103" i="3"/>
  <c r="U103" i="3" s="1"/>
  <c r="V103" i="3" s="1"/>
  <c r="AB103" i="3" s="1"/>
  <c r="AF103" i="3" s="1"/>
  <c r="AH103" i="3" s="1"/>
  <c r="T112" i="3"/>
  <c r="U112" i="3" s="1"/>
  <c r="V112" i="3" s="1"/>
  <c r="AB112" i="3" s="1"/>
  <c r="AC112" i="3" s="1"/>
  <c r="N212" i="3"/>
  <c r="O212" i="3" s="1"/>
  <c r="P212" i="3" s="1"/>
  <c r="X212" i="3" s="1"/>
  <c r="Z212" i="3" s="1"/>
  <c r="T215" i="3"/>
  <c r="U215" i="3" s="1"/>
  <c r="V215" i="3" s="1"/>
  <c r="AB215" i="3" s="1"/>
  <c r="AD215" i="3" s="1"/>
  <c r="T139" i="3"/>
  <c r="U139" i="3" s="1"/>
  <c r="V139" i="3" s="1"/>
  <c r="AB139" i="3" s="1"/>
  <c r="AC139" i="3" s="1"/>
  <c r="N243" i="3"/>
  <c r="O243" i="3" s="1"/>
  <c r="P243" i="3" s="1"/>
  <c r="X243" i="3" s="1"/>
  <c r="Z243" i="3" s="1"/>
  <c r="N97" i="3"/>
  <c r="O97" i="3" s="1"/>
  <c r="P97" i="3" s="1"/>
  <c r="X97" i="3" s="1"/>
  <c r="T181" i="3"/>
  <c r="U181" i="3" s="1"/>
  <c r="V181" i="3" s="1"/>
  <c r="AB181" i="3" s="1"/>
  <c r="AD181" i="3" s="1"/>
  <c r="T250" i="3"/>
  <c r="U250" i="3" s="1"/>
  <c r="V250" i="3" s="1"/>
  <c r="AB250" i="3" s="1"/>
  <c r="AD250" i="3" s="1"/>
  <c r="T164" i="3"/>
  <c r="U164" i="3" s="1"/>
  <c r="V164" i="3" s="1"/>
  <c r="AB164" i="3" s="1"/>
  <c r="AD164" i="3" s="1"/>
  <c r="N251" i="3"/>
  <c r="O251" i="3" s="1"/>
  <c r="P251" i="3" s="1"/>
  <c r="X251" i="3" s="1"/>
  <c r="Y251" i="3" s="1"/>
  <c r="N153" i="3"/>
  <c r="O153" i="3" s="1"/>
  <c r="P153" i="3" s="1"/>
  <c r="X153" i="3" s="1"/>
  <c r="Y153" i="3" s="1"/>
  <c r="N244" i="3"/>
  <c r="O244" i="3" s="1"/>
  <c r="P244" i="3" s="1"/>
  <c r="X244" i="3" s="1"/>
  <c r="Z244" i="3" s="1"/>
  <c r="N194" i="3"/>
  <c r="O194" i="3" s="1"/>
  <c r="P194" i="3" s="1"/>
  <c r="X194" i="3" s="1"/>
  <c r="Z194" i="3" s="1"/>
  <c r="N124" i="3"/>
  <c r="O124" i="3" s="1"/>
  <c r="P124" i="3" s="1"/>
  <c r="X124" i="3" s="1"/>
  <c r="Z124" i="3" s="1"/>
  <c r="N111" i="3"/>
  <c r="O111" i="3" s="1"/>
  <c r="P111" i="3" s="1"/>
  <c r="X111" i="3" s="1"/>
  <c r="Y111" i="3" s="1"/>
  <c r="T70" i="3"/>
  <c r="U70" i="3" s="1"/>
  <c r="V70" i="3" s="1"/>
  <c r="AB70" i="3" s="1"/>
  <c r="AD70" i="3" s="1"/>
  <c r="N81" i="3"/>
  <c r="O81" i="3" s="1"/>
  <c r="P81" i="3" s="1"/>
  <c r="X81" i="3" s="1"/>
  <c r="Z81" i="3" s="1"/>
  <c r="N140" i="3"/>
  <c r="O140" i="3" s="1"/>
  <c r="P140" i="3" s="1"/>
  <c r="X140" i="3" s="1"/>
  <c r="Z140" i="3" s="1"/>
  <c r="T68" i="3"/>
  <c r="U68" i="3" s="1"/>
  <c r="V68" i="3" s="1"/>
  <c r="AB68" i="3" s="1"/>
  <c r="AC68" i="3" s="1"/>
  <c r="N176" i="3"/>
  <c r="O176" i="3" s="1"/>
  <c r="P176" i="3" s="1"/>
  <c r="X176" i="3" s="1"/>
  <c r="T235" i="3"/>
  <c r="U235" i="3" s="1"/>
  <c r="V235" i="3" s="1"/>
  <c r="AB235" i="3" s="1"/>
  <c r="AC235" i="3" s="1"/>
  <c r="T146" i="3"/>
  <c r="U146" i="3" s="1"/>
  <c r="V146" i="3" s="1"/>
  <c r="AB146" i="3" s="1"/>
  <c r="AD146" i="3" s="1"/>
  <c r="T259" i="3"/>
  <c r="U259" i="3" s="1"/>
  <c r="V259" i="3" s="1"/>
  <c r="AB259" i="3" s="1"/>
  <c r="AC259" i="3" s="1"/>
  <c r="T129" i="3"/>
  <c r="U129" i="3" s="1"/>
  <c r="V129" i="3" s="1"/>
  <c r="AB129" i="3" s="1"/>
  <c r="AD129" i="3" s="1"/>
  <c r="N161" i="3"/>
  <c r="O161" i="3" s="1"/>
  <c r="P161" i="3" s="1"/>
  <c r="X161" i="3" s="1"/>
  <c r="AF161" i="3" s="1"/>
  <c r="T104" i="3"/>
  <c r="U104" i="3" s="1"/>
  <c r="V104" i="3" s="1"/>
  <c r="AB104" i="3" s="1"/>
  <c r="AC104" i="3" s="1"/>
  <c r="N193" i="3"/>
  <c r="O193" i="3" s="1"/>
  <c r="P193" i="3" s="1"/>
  <c r="X193" i="3" s="1"/>
  <c r="Y193" i="3" s="1"/>
  <c r="N159" i="3"/>
  <c r="O159" i="3" s="1"/>
  <c r="P159" i="3" s="1"/>
  <c r="X159" i="3" s="1"/>
  <c r="Y159" i="3" s="1"/>
  <c r="T239" i="3"/>
  <c r="U239" i="3" s="1"/>
  <c r="V239" i="3" s="1"/>
  <c r="AB239" i="3" s="1"/>
  <c r="AC239" i="3" s="1"/>
  <c r="T219" i="3"/>
  <c r="U219" i="3" s="1"/>
  <c r="V219" i="3" s="1"/>
  <c r="AB219" i="3" s="1"/>
  <c r="AC219" i="3" s="1"/>
  <c r="T100" i="3"/>
  <c r="U100" i="3" s="1"/>
  <c r="V100" i="3" s="1"/>
  <c r="AB100" i="3" s="1"/>
  <c r="AD100" i="3" s="1"/>
  <c r="T196" i="3"/>
  <c r="U196" i="3" s="1"/>
  <c r="V196" i="3" s="1"/>
  <c r="AB196" i="3" s="1"/>
  <c r="AC196" i="3" s="1"/>
  <c r="T258" i="3"/>
  <c r="U258" i="3" s="1"/>
  <c r="V258" i="3" s="1"/>
  <c r="AB258" i="3" s="1"/>
  <c r="AD258" i="3" s="1"/>
  <c r="N121" i="3"/>
  <c r="O121" i="3" s="1"/>
  <c r="P121" i="3" s="1"/>
  <c r="X121" i="3" s="1"/>
  <c r="Z121" i="3" s="1"/>
  <c r="T75" i="3"/>
  <c r="U75" i="3" s="1"/>
  <c r="V75" i="3" s="1"/>
  <c r="AB75" i="3" s="1"/>
  <c r="AF75" i="3" s="1"/>
  <c r="N178" i="3"/>
  <c r="O178" i="3" s="1"/>
  <c r="P178" i="3" s="1"/>
  <c r="X178" i="3" s="1"/>
  <c r="AF178" i="3" s="1"/>
  <c r="N213" i="3"/>
  <c r="O213" i="3" s="1"/>
  <c r="P213" i="3" s="1"/>
  <c r="X213" i="3" s="1"/>
  <c r="Y213" i="3" s="1"/>
  <c r="N252" i="3"/>
  <c r="O252" i="3" s="1"/>
  <c r="P252" i="3" s="1"/>
  <c r="X252" i="3" s="1"/>
  <c r="Y252" i="3" s="1"/>
  <c r="T187" i="3"/>
  <c r="U187" i="3" s="1"/>
  <c r="V187" i="3" s="1"/>
  <c r="AB187" i="3" s="1"/>
  <c r="AC187" i="3" s="1"/>
  <c r="T72" i="3"/>
  <c r="U72" i="3" s="1"/>
  <c r="V72" i="3" s="1"/>
  <c r="AB72" i="3" s="1"/>
  <c r="AD72" i="3" s="1"/>
  <c r="T217" i="3"/>
  <c r="U217" i="3" s="1"/>
  <c r="V217" i="3" s="1"/>
  <c r="AB217" i="3" s="1"/>
  <c r="AD217" i="3" s="1"/>
  <c r="T150" i="3"/>
  <c r="U150" i="3" s="1"/>
  <c r="V150" i="3" s="1"/>
  <c r="AB150" i="3" s="1"/>
  <c r="AC150" i="3" s="1"/>
  <c r="N220" i="3"/>
  <c r="O220" i="3" s="1"/>
  <c r="P220" i="3" s="1"/>
  <c r="X220" i="3" s="1"/>
  <c r="Y220" i="3" s="1"/>
  <c r="N189" i="3"/>
  <c r="O189" i="3" s="1"/>
  <c r="P189" i="3" s="1"/>
  <c r="X189" i="3" s="1"/>
  <c r="Z189" i="3" s="1"/>
  <c r="T264" i="3"/>
  <c r="U264" i="3" s="1"/>
  <c r="V264" i="3" s="1"/>
  <c r="AB264" i="3" s="1"/>
  <c r="AC264" i="3" s="1"/>
  <c r="T198" i="3"/>
  <c r="U198" i="3" s="1"/>
  <c r="V198" i="3" s="1"/>
  <c r="AB198" i="3" s="1"/>
  <c r="AC198" i="3" s="1"/>
  <c r="T228" i="3"/>
  <c r="U228" i="3" s="1"/>
  <c r="V228" i="3" s="1"/>
  <c r="AB228" i="3" s="1"/>
  <c r="AC228" i="3" s="1"/>
  <c r="AW264" i="3"/>
  <c r="AY264" i="3" s="1"/>
  <c r="T262" i="3"/>
  <c r="U262" i="3" s="1"/>
  <c r="V262" i="3" s="1"/>
  <c r="AB262" i="3" s="1"/>
  <c r="AD262" i="3" s="1"/>
  <c r="T87" i="3"/>
  <c r="U87" i="3" s="1"/>
  <c r="V87" i="3" s="1"/>
  <c r="AB87" i="3" s="1"/>
  <c r="AF87" i="3" s="1"/>
  <c r="T101" i="3"/>
  <c r="U101" i="3" s="1"/>
  <c r="V101" i="3" s="1"/>
  <c r="AB101" i="3" s="1"/>
  <c r="AD101" i="3" s="1"/>
  <c r="N221" i="3"/>
  <c r="O221" i="3" s="1"/>
  <c r="P221" i="3" s="1"/>
  <c r="X221" i="3" s="1"/>
  <c r="N131" i="3"/>
  <c r="O131" i="3" s="1"/>
  <c r="P131" i="3" s="1"/>
  <c r="X131" i="3" s="1"/>
  <c r="Y131" i="3" s="1"/>
  <c r="T80" i="3"/>
  <c r="U80" i="3" s="1"/>
  <c r="V80" i="3" s="1"/>
  <c r="AB80" i="3" s="1"/>
  <c r="AC80" i="3" s="1"/>
  <c r="H158" i="3"/>
  <c r="X253" i="3"/>
  <c r="Z253" i="3" s="1"/>
  <c r="X72" i="3"/>
  <c r="Y72" i="3" s="1"/>
  <c r="X158" i="3"/>
  <c r="Z158" i="3" s="1"/>
  <c r="AW139" i="3"/>
  <c r="AX139" i="3" s="1"/>
  <c r="T96" i="3"/>
  <c r="U96" i="3" s="1"/>
  <c r="V96" i="3" s="1"/>
  <c r="AB96" i="3" s="1"/>
  <c r="AD96" i="3" s="1"/>
  <c r="N96" i="3"/>
  <c r="O96" i="3" s="1"/>
  <c r="P96" i="3" s="1"/>
  <c r="X96" i="3" s="1"/>
  <c r="T186" i="3"/>
  <c r="U186" i="3" s="1"/>
  <c r="V186" i="3" s="1"/>
  <c r="AB186" i="3" s="1"/>
  <c r="AD186" i="3" s="1"/>
  <c r="T199" i="3"/>
  <c r="U199" i="3" s="1"/>
  <c r="V199" i="3" s="1"/>
  <c r="AB199" i="3" s="1"/>
  <c r="AC199" i="3" s="1"/>
  <c r="T85" i="3"/>
  <c r="U85" i="3" s="1"/>
  <c r="V85" i="3" s="1"/>
  <c r="AB85" i="3" s="1"/>
  <c r="AD85" i="3" s="1"/>
  <c r="N173" i="3"/>
  <c r="O173" i="3" s="1"/>
  <c r="P173" i="3" s="1"/>
  <c r="X173" i="3" s="1"/>
  <c r="Z173" i="3" s="1"/>
  <c r="T142" i="3"/>
  <c r="U142" i="3" s="1"/>
  <c r="V142" i="3" s="1"/>
  <c r="AB142" i="3" s="1"/>
  <c r="AC142" i="3" s="1"/>
  <c r="N218" i="3"/>
  <c r="O218" i="3" s="1"/>
  <c r="P218" i="3" s="1"/>
  <c r="X218" i="3" s="1"/>
  <c r="Y218" i="3" s="1"/>
  <c r="N170" i="3"/>
  <c r="O170" i="3" s="1"/>
  <c r="P170" i="3" s="1"/>
  <c r="X170" i="3" s="1"/>
  <c r="AF170" i="3" s="1"/>
  <c r="T86" i="3"/>
  <c r="U86" i="3" s="1"/>
  <c r="V86" i="3" s="1"/>
  <c r="AB86" i="3" s="1"/>
  <c r="AC86" i="3" s="1"/>
  <c r="N166" i="3"/>
  <c r="O166" i="3" s="1"/>
  <c r="P166" i="3" s="1"/>
  <c r="X166" i="3" s="1"/>
  <c r="AF166" i="3" s="1"/>
  <c r="T226" i="3"/>
  <c r="U226" i="3" s="1"/>
  <c r="V226" i="3" s="1"/>
  <c r="AB226" i="3" s="1"/>
  <c r="AC226" i="3" s="1"/>
  <c r="T188" i="3"/>
  <c r="U188" i="3" s="1"/>
  <c r="V188" i="3" s="1"/>
  <c r="AB188" i="3" s="1"/>
  <c r="AD188" i="3" s="1"/>
  <c r="N128" i="3"/>
  <c r="O128" i="3" s="1"/>
  <c r="P128" i="3" s="1"/>
  <c r="X128" i="3" s="1"/>
  <c r="AF128" i="3" s="1"/>
  <c r="N205" i="3"/>
  <c r="O205" i="3" s="1"/>
  <c r="P205" i="3" s="1"/>
  <c r="X205" i="3" s="1"/>
  <c r="Y205" i="3" s="1"/>
  <c r="T253" i="3"/>
  <c r="U253" i="3" s="1"/>
  <c r="V253" i="3" s="1"/>
  <c r="AB253" i="3" s="1"/>
  <c r="N107" i="3"/>
  <c r="O107" i="3" s="1"/>
  <c r="P107" i="3" s="1"/>
  <c r="X107" i="3" s="1"/>
  <c r="Z107" i="3" s="1"/>
  <c r="N167" i="3"/>
  <c r="O167" i="3" s="1"/>
  <c r="P167" i="3" s="1"/>
  <c r="X167" i="3" s="1"/>
  <c r="Y167" i="3" s="1"/>
  <c r="T230" i="3"/>
  <c r="U230" i="3" s="1"/>
  <c r="V230" i="3" s="1"/>
  <c r="AB230" i="3" s="1"/>
  <c r="AD230" i="3" s="1"/>
  <c r="T183" i="3"/>
  <c r="U183" i="3" s="1"/>
  <c r="V183" i="3" s="1"/>
  <c r="AB183" i="3" s="1"/>
  <c r="AC183" i="3" s="1"/>
  <c r="N134" i="3"/>
  <c r="O134" i="3" s="1"/>
  <c r="P134" i="3" s="1"/>
  <c r="X134" i="3" s="1"/>
  <c r="Z134" i="3" s="1"/>
  <c r="N234" i="3"/>
  <c r="O234" i="3" s="1"/>
  <c r="P234" i="3" s="1"/>
  <c r="X234" i="3" s="1"/>
  <c r="Y234" i="3" s="1"/>
  <c r="T92" i="3"/>
  <c r="U92" i="3" s="1"/>
  <c r="V92" i="3" s="1"/>
  <c r="AB92" i="3" s="1"/>
  <c r="AC92" i="3" s="1"/>
  <c r="N180" i="3"/>
  <c r="O180" i="3" s="1"/>
  <c r="P180" i="3" s="1"/>
  <c r="X180" i="3" s="1"/>
  <c r="Z180" i="3" s="1"/>
  <c r="N88" i="3"/>
  <c r="O88" i="3" s="1"/>
  <c r="P88" i="3" s="1"/>
  <c r="X88" i="3" s="1"/>
  <c r="Y88" i="3" s="1"/>
  <c r="N210" i="3"/>
  <c r="O210" i="3" s="1"/>
  <c r="P210" i="3" s="1"/>
  <c r="X210" i="3" s="1"/>
  <c r="AF210" i="3" s="1"/>
  <c r="T169" i="3"/>
  <c r="U169" i="3" s="1"/>
  <c r="V169" i="3" s="1"/>
  <c r="AB169" i="3" s="1"/>
  <c r="AC169" i="3" s="1"/>
  <c r="N113" i="3"/>
  <c r="O113" i="3" s="1"/>
  <c r="P113" i="3" s="1"/>
  <c r="X113" i="3" s="1"/>
  <c r="Y113" i="3" s="1"/>
  <c r="N216" i="3"/>
  <c r="O216" i="3" s="1"/>
  <c r="P216" i="3" s="1"/>
  <c r="X216" i="3" s="1"/>
  <c r="Z216" i="3" s="1"/>
  <c r="N123" i="3"/>
  <c r="O123" i="3" s="1"/>
  <c r="P123" i="3" s="1"/>
  <c r="X123" i="3" s="1"/>
  <c r="Y123" i="3" s="1"/>
  <c r="N223" i="3"/>
  <c r="O223" i="3" s="1"/>
  <c r="P223" i="3" s="1"/>
  <c r="X223" i="3" s="1"/>
  <c r="Z223" i="3" s="1"/>
  <c r="N155" i="3"/>
  <c r="O155" i="3" s="1"/>
  <c r="P155" i="3" s="1"/>
  <c r="X155" i="3" s="1"/>
  <c r="Y155" i="3" s="1"/>
  <c r="T114" i="3"/>
  <c r="U114" i="3" s="1"/>
  <c r="V114" i="3" s="1"/>
  <c r="AB114" i="3" s="1"/>
  <c r="AD114" i="3" s="1"/>
  <c r="T145" i="3"/>
  <c r="U145" i="3" s="1"/>
  <c r="V145" i="3" s="1"/>
  <c r="AB145" i="3" s="1"/>
  <c r="AC145" i="3" s="1"/>
  <c r="N190" i="3"/>
  <c r="O190" i="3" s="1"/>
  <c r="P190" i="3" s="1"/>
  <c r="X190" i="3" s="1"/>
  <c r="Y190" i="3" s="1"/>
  <c r="N108" i="3"/>
  <c r="O108" i="3" s="1"/>
  <c r="P108" i="3" s="1"/>
  <c r="X108" i="3" s="1"/>
  <c r="AF108" i="3" s="1"/>
  <c r="N227" i="3"/>
  <c r="O227" i="3" s="1"/>
  <c r="P227" i="3" s="1"/>
  <c r="X227" i="3" s="1"/>
  <c r="AF227" i="3" s="1"/>
  <c r="N84" i="3"/>
  <c r="O84" i="3" s="1"/>
  <c r="P84" i="3" s="1"/>
  <c r="X84" i="3" s="1"/>
  <c r="Y84" i="3" s="1"/>
  <c r="T257" i="3"/>
  <c r="U257" i="3" s="1"/>
  <c r="V257" i="3" s="1"/>
  <c r="AB257" i="3" s="1"/>
  <c r="AC257" i="3" s="1"/>
  <c r="N172" i="3"/>
  <c r="O172" i="3" s="1"/>
  <c r="P172" i="3" s="1"/>
  <c r="X172" i="3" s="1"/>
  <c r="AF172" i="3" s="1"/>
  <c r="AW73" i="3"/>
  <c r="AY73" i="3" s="1"/>
  <c r="AW231" i="3"/>
  <c r="AY231" i="3" s="1"/>
  <c r="AW252" i="3"/>
  <c r="AY252" i="3" s="1"/>
  <c r="AW134" i="3"/>
  <c r="AX134" i="3" s="1"/>
  <c r="G171" i="3"/>
  <c r="H207" i="3"/>
  <c r="G192" i="3"/>
  <c r="AW224" i="3"/>
  <c r="AZ224" i="3" s="1"/>
  <c r="AW241" i="3"/>
  <c r="AX241" i="3" s="1"/>
  <c r="F42" i="1"/>
  <c r="F41" i="1" s="1"/>
  <c r="G41" i="1" s="1"/>
  <c r="AW87" i="3"/>
  <c r="AX87" i="3" s="1"/>
  <c r="AW220" i="3"/>
  <c r="AZ220" i="3" s="1"/>
  <c r="AW77" i="3"/>
  <c r="AY77" i="3" s="1"/>
  <c r="AW168" i="3"/>
  <c r="AY168" i="3" s="1"/>
  <c r="AW118" i="3"/>
  <c r="AX118" i="3" s="1"/>
  <c r="AW191" i="3"/>
  <c r="AW150" i="3"/>
  <c r="AY150" i="3" s="1"/>
  <c r="AW94" i="3"/>
  <c r="AX94" i="3" s="1"/>
  <c r="AW251" i="3"/>
  <c r="AZ251" i="3" s="1"/>
  <c r="AW105" i="3"/>
  <c r="AW117" i="3"/>
  <c r="AY117" i="3" s="1"/>
  <c r="AW239" i="3"/>
  <c r="AX239" i="3" s="1"/>
  <c r="AW98" i="3"/>
  <c r="AZ98" i="3" s="1"/>
  <c r="AW173" i="3"/>
  <c r="AY173" i="3" s="1"/>
  <c r="AW229" i="3"/>
  <c r="AW89" i="3"/>
  <c r="AY89" i="3" s="1"/>
  <c r="AW196" i="3"/>
  <c r="AX196" i="3" s="1"/>
  <c r="AW72" i="3"/>
  <c r="AX72" i="3" s="1"/>
  <c r="AW181" i="3"/>
  <c r="AY181" i="3" s="1"/>
  <c r="AW163" i="3"/>
  <c r="AX163" i="3" s="1"/>
  <c r="AW204" i="3"/>
  <c r="AX204" i="3" s="1"/>
  <c r="AW157" i="3"/>
  <c r="AW76" i="3"/>
  <c r="AY76" i="3" s="1"/>
  <c r="AW175" i="3"/>
  <c r="AX175" i="3" s="1"/>
  <c r="AW209" i="3"/>
  <c r="AY209" i="3" s="1"/>
  <c r="AW261" i="3"/>
  <c r="AX261" i="3" s="1"/>
  <c r="AW142" i="3"/>
  <c r="AY142" i="3" s="1"/>
  <c r="AW93" i="3"/>
  <c r="AX93" i="3" s="1"/>
  <c r="AW66" i="3"/>
  <c r="AZ66" i="3" s="1"/>
  <c r="BD66" i="3" s="1"/>
  <c r="AW244" i="3"/>
  <c r="AX244" i="3" s="1"/>
  <c r="AW113" i="3"/>
  <c r="AY113" i="3" s="1"/>
  <c r="AW211" i="3"/>
  <c r="AY211" i="3" s="1"/>
  <c r="AW243" i="3"/>
  <c r="AY243" i="3" s="1"/>
  <c r="AW208" i="3"/>
  <c r="AZ208" i="3" s="1"/>
  <c r="BA208" i="3" s="1"/>
  <c r="AW107" i="3"/>
  <c r="AX107" i="3" s="1"/>
  <c r="AW158" i="3"/>
  <c r="AW174" i="3"/>
  <c r="AY174" i="3" s="1"/>
  <c r="AW171" i="3"/>
  <c r="AX171" i="3" s="1"/>
  <c r="AW141" i="3"/>
  <c r="AX141" i="3" s="1"/>
  <c r="AW165" i="3"/>
  <c r="AY165" i="3" s="1"/>
  <c r="AW221" i="3"/>
  <c r="AX221" i="3" s="1"/>
  <c r="AW91" i="3"/>
  <c r="AX91" i="3" s="1"/>
  <c r="AW260" i="3"/>
  <c r="AY260" i="3" s="1"/>
  <c r="G189" i="3"/>
  <c r="G208" i="3"/>
  <c r="X219" i="3"/>
  <c r="Z219" i="3" s="1"/>
  <c r="AW178" i="3"/>
  <c r="AZ178" i="3" s="1"/>
  <c r="AW256" i="3"/>
  <c r="AX256" i="3" s="1"/>
  <c r="AW185" i="3"/>
  <c r="AX185" i="3" s="1"/>
  <c r="AW122" i="3"/>
  <c r="AX122" i="3" s="1"/>
  <c r="AW112" i="3"/>
  <c r="AY112" i="3" s="1"/>
  <c r="AW182" i="3"/>
  <c r="AY182" i="3" s="1"/>
  <c r="AW218" i="3"/>
  <c r="AX218" i="3" s="1"/>
  <c r="AW198" i="3"/>
  <c r="AY198" i="3" s="1"/>
  <c r="AW189" i="3"/>
  <c r="AX189" i="3" s="1"/>
  <c r="AW202" i="3"/>
  <c r="AY202" i="3" s="1"/>
  <c r="AW172" i="3"/>
  <c r="AX172" i="3" s="1"/>
  <c r="AW179" i="3"/>
  <c r="AY179" i="3" s="1"/>
  <c r="AW114" i="3"/>
  <c r="AX114" i="3" s="1"/>
  <c r="G137" i="3"/>
  <c r="H212" i="3"/>
  <c r="H246" i="3"/>
  <c r="X136" i="3"/>
  <c r="AW262" i="3"/>
  <c r="AX262" i="3" s="1"/>
  <c r="AC248" i="3"/>
  <c r="AX128" i="3"/>
  <c r="AW111" i="3"/>
  <c r="AY111" i="3" s="1"/>
  <c r="AW85" i="3"/>
  <c r="AY216" i="3"/>
  <c r="AW236" i="3"/>
  <c r="AY236" i="3" s="1"/>
  <c r="AW248" i="3"/>
  <c r="AX248" i="3" s="1"/>
  <c r="AW78" i="3"/>
  <c r="AX78" i="3" s="1"/>
  <c r="AW144" i="3"/>
  <c r="AY144" i="3" s="1"/>
  <c r="AW230" i="3"/>
  <c r="AY230" i="3" s="1"/>
  <c r="AW146" i="3"/>
  <c r="AY146" i="3" s="1"/>
  <c r="AW247" i="3"/>
  <c r="AX184" i="3"/>
  <c r="AW70" i="3"/>
  <c r="AY70" i="3" s="1"/>
  <c r="AW234" i="3"/>
  <c r="AY234" i="3" s="1"/>
  <c r="AW126" i="3"/>
  <c r="AY126" i="3" s="1"/>
  <c r="AW79" i="3"/>
  <c r="AZ79" i="3" s="1"/>
  <c r="AW183" i="3"/>
  <c r="AY183" i="3" s="1"/>
  <c r="AW127" i="3"/>
  <c r="AX127" i="3" s="1"/>
  <c r="AW253" i="3"/>
  <c r="AX253" i="3" s="1"/>
  <c r="X200" i="3"/>
  <c r="Z200" i="3" s="1"/>
  <c r="AC197" i="3"/>
  <c r="AD197" i="3"/>
  <c r="AC245" i="3"/>
  <c r="X246" i="3"/>
  <c r="Y246" i="3" s="1"/>
  <c r="H259" i="3"/>
  <c r="H219" i="3"/>
  <c r="H217" i="3"/>
  <c r="H222" i="3"/>
  <c r="G64" i="3"/>
  <c r="H201" i="3"/>
  <c r="AC171" i="3"/>
  <c r="G152" i="3"/>
  <c r="X222" i="3"/>
  <c r="X160" i="3"/>
  <c r="X201" i="3"/>
  <c r="Y201" i="3" s="1"/>
  <c r="H214" i="3"/>
  <c r="X217" i="3"/>
  <c r="Y217" i="3" s="1"/>
  <c r="Q72" i="2"/>
  <c r="X206" i="3"/>
  <c r="G82" i="3"/>
  <c r="H138" i="3"/>
  <c r="X214" i="3"/>
  <c r="Z214" i="3" s="1"/>
  <c r="H109" i="3"/>
  <c r="AC95" i="3"/>
  <c r="G163" i="3"/>
  <c r="G154" i="3"/>
  <c r="X129" i="3"/>
  <c r="Y129" i="3" s="1"/>
  <c r="X203" i="3"/>
  <c r="Y203" i="3" s="1"/>
  <c r="X82" i="3"/>
  <c r="Y82" i="3" s="1"/>
  <c r="X152" i="3"/>
  <c r="X259" i="3"/>
  <c r="Y259" i="3" s="1"/>
  <c r="H129" i="3"/>
  <c r="AC184" i="3"/>
  <c r="X186" i="3"/>
  <c r="Y186" i="3" s="1"/>
  <c r="AD98" i="3"/>
  <c r="AD90" i="3"/>
  <c r="AD249" i="3"/>
  <c r="AZ184" i="3"/>
  <c r="BA184" i="3" s="1"/>
  <c r="AD134" i="3"/>
  <c r="AD207" i="3"/>
  <c r="AC207" i="3"/>
  <c r="Z232" i="3"/>
  <c r="Y232" i="3"/>
  <c r="AX246" i="3"/>
  <c r="AY246" i="3"/>
  <c r="AY115" i="3"/>
  <c r="AX115" i="3"/>
  <c r="AX152" i="3"/>
  <c r="AY152" i="3"/>
  <c r="AW95" i="3"/>
  <c r="AC254" i="3"/>
  <c r="G249" i="3"/>
  <c r="G161" i="3"/>
  <c r="H161" i="3"/>
  <c r="AW121" i="3"/>
  <c r="AY121" i="3" s="1"/>
  <c r="AD224" i="3"/>
  <c r="AW210" i="3"/>
  <c r="AX210" i="3" s="1"/>
  <c r="H111" i="3"/>
  <c r="X109" i="3"/>
  <c r="Y109" i="3" s="1"/>
  <c r="AW177" i="3"/>
  <c r="AZ177" i="3" s="1"/>
  <c r="AW187" i="3"/>
  <c r="AW102" i="3"/>
  <c r="AY102" i="3" s="1"/>
  <c r="AW212" i="3"/>
  <c r="AX212" i="3" s="1"/>
  <c r="AW233" i="3"/>
  <c r="AY233" i="3" s="1"/>
  <c r="X145" i="3"/>
  <c r="Z145" i="3" s="1"/>
  <c r="AW227" i="3"/>
  <c r="AX227" i="3" s="1"/>
  <c r="H145" i="3"/>
  <c r="AW194" i="3"/>
  <c r="AY194" i="3" s="1"/>
  <c r="G223" i="3"/>
  <c r="AW64" i="3"/>
  <c r="AZ64" i="3" s="1"/>
  <c r="AD88" i="3"/>
  <c r="AC79" i="3"/>
  <c r="AC180" i="3"/>
  <c r="AD208" i="3"/>
  <c r="AC155" i="3"/>
  <c r="Y101" i="3"/>
  <c r="Z101" i="3"/>
  <c r="AB216" i="3"/>
  <c r="AZ216" i="3"/>
  <c r="AC149" i="3"/>
  <c r="AC231" i="3"/>
  <c r="X156" i="3"/>
  <c r="Z156" i="3" s="1"/>
  <c r="H236" i="3"/>
  <c r="H202" i="3"/>
  <c r="AC173" i="3"/>
  <c r="AC153" i="3"/>
  <c r="H238" i="3"/>
  <c r="AD234" i="3"/>
  <c r="G175" i="3"/>
  <c r="AC93" i="3"/>
  <c r="H211" i="3"/>
  <c r="Z262" i="3"/>
  <c r="H186" i="3"/>
  <c r="Y133" i="3"/>
  <c r="AC179" i="3"/>
  <c r="Z182" i="3"/>
  <c r="AC243" i="3"/>
  <c r="X171" i="3"/>
  <c r="AF171" i="3" s="1"/>
  <c r="AC263" i="3"/>
  <c r="Y229" i="3"/>
  <c r="X228" i="3"/>
  <c r="Y228" i="3" s="1"/>
  <c r="X144" i="3"/>
  <c r="Y144" i="3" s="1"/>
  <c r="X89" i="3"/>
  <c r="Z89" i="3" s="1"/>
  <c r="X175" i="3"/>
  <c r="AD138" i="3"/>
  <c r="AD221" i="3"/>
  <c r="X86" i="3"/>
  <c r="G231" i="3"/>
  <c r="Z92" i="3"/>
  <c r="Z235" i="3"/>
  <c r="G88" i="3"/>
  <c r="AC190" i="3"/>
  <c r="AC172" i="3"/>
  <c r="Y198" i="3"/>
  <c r="X258" i="3"/>
  <c r="AD225" i="3"/>
  <c r="X119" i="3"/>
  <c r="X183" i="3"/>
  <c r="Z181" i="3"/>
  <c r="AC131" i="3"/>
  <c r="X239" i="3"/>
  <c r="Z239" i="3" s="1"/>
  <c r="X99" i="3"/>
  <c r="Z99" i="3" s="1"/>
  <c r="X74" i="3"/>
  <c r="X65" i="3"/>
  <c r="Z65" i="3" s="1"/>
  <c r="X230" i="3"/>
  <c r="Y230" i="3" s="1"/>
  <c r="X148" i="3"/>
  <c r="Z148" i="3" s="1"/>
  <c r="AD127" i="3"/>
  <c r="X208" i="3"/>
  <c r="AC123" i="3"/>
  <c r="AD116" i="3"/>
  <c r="AC116" i="3"/>
  <c r="AD66" i="3"/>
  <c r="AC66" i="3"/>
  <c r="Z226" i="3"/>
  <c r="Y226" i="3"/>
  <c r="AX201" i="3"/>
  <c r="AY201" i="3"/>
  <c r="AY162" i="3"/>
  <c r="AZ162" i="3"/>
  <c r="AX162" i="3"/>
  <c r="AX100" i="3"/>
  <c r="AY100" i="3"/>
  <c r="AZ138" i="3"/>
  <c r="AY138" i="3"/>
  <c r="AX138" i="3"/>
  <c r="AZ197" i="3"/>
  <c r="AY197" i="3"/>
  <c r="AX197" i="3"/>
  <c r="AC81" i="3"/>
  <c r="AD81" i="3"/>
  <c r="AY257" i="3"/>
  <c r="AX257" i="3"/>
  <c r="AD73" i="3"/>
  <c r="AC73" i="3"/>
  <c r="AX240" i="3"/>
  <c r="AY240" i="3"/>
  <c r="AX116" i="3"/>
  <c r="AY116" i="3"/>
  <c r="AZ116" i="3"/>
  <c r="AC94" i="3"/>
  <c r="AD94" i="3"/>
  <c r="Z188" i="3"/>
  <c r="Y188" i="3"/>
  <c r="AY190" i="3"/>
  <c r="AZ190" i="3"/>
  <c r="AX190" i="3"/>
  <c r="AD163" i="3"/>
  <c r="AC163" i="3"/>
  <c r="AX145" i="3"/>
  <c r="AY145" i="3"/>
  <c r="AY199" i="3"/>
  <c r="AX199" i="3"/>
  <c r="AC97" i="3"/>
  <c r="AD97" i="3"/>
  <c r="AD67" i="3"/>
  <c r="AC67" i="3"/>
  <c r="AY125" i="3"/>
  <c r="AX125" i="3"/>
  <c r="AC204" i="3"/>
  <c r="AD204" i="3"/>
  <c r="AX104" i="3"/>
  <c r="AY104" i="3"/>
  <c r="AZ154" i="3"/>
  <c r="AY154" i="3"/>
  <c r="AX154" i="3"/>
  <c r="AY160" i="3"/>
  <c r="AX160" i="3"/>
  <c r="AZ140" i="3"/>
  <c r="AY140" i="3"/>
  <c r="AX140" i="3"/>
  <c r="Z78" i="3"/>
  <c r="Y78" i="3"/>
  <c r="AX103" i="3"/>
  <c r="AY103" i="3"/>
  <c r="AX81" i="3"/>
  <c r="AZ81" i="3"/>
  <c r="AY81" i="3"/>
  <c r="AZ132" i="3"/>
  <c r="AX132" i="3"/>
  <c r="AY132" i="3"/>
  <c r="Y69" i="3"/>
  <c r="Z69" i="3"/>
  <c r="AX99" i="3"/>
  <c r="AY99" i="3"/>
  <c r="Z135" i="3"/>
  <c r="Y135" i="3"/>
  <c r="AY255" i="3"/>
  <c r="AX255" i="3"/>
  <c r="Y75" i="3"/>
  <c r="Z75" i="3"/>
  <c r="AX169" i="3"/>
  <c r="AY169" i="3"/>
  <c r="AD111" i="3"/>
  <c r="AC111" i="3"/>
  <c r="AY217" i="3"/>
  <c r="AX217" i="3"/>
  <c r="AZ124" i="3"/>
  <c r="AX124" i="3"/>
  <c r="AY124" i="3"/>
  <c r="AY166" i="3"/>
  <c r="AX166" i="3"/>
  <c r="AZ166" i="3"/>
  <c r="AY245" i="3"/>
  <c r="AX245" i="3"/>
  <c r="AZ245" i="3"/>
  <c r="Y142" i="3"/>
  <c r="Z142" i="3"/>
  <c r="AX161" i="3"/>
  <c r="AY161" i="3"/>
  <c r="AZ161" i="3"/>
  <c r="AX130" i="3"/>
  <c r="AY130" i="3"/>
  <c r="AX155" i="3"/>
  <c r="AY155" i="3"/>
  <c r="AZ155" i="3"/>
  <c r="AY148" i="3"/>
  <c r="AX148" i="3"/>
  <c r="AX186" i="3"/>
  <c r="AY186" i="3"/>
  <c r="AX82" i="3"/>
  <c r="AY82" i="3"/>
  <c r="AC170" i="3"/>
  <c r="AD170" i="3"/>
  <c r="AZ84" i="3"/>
  <c r="AX84" i="3"/>
  <c r="AY84" i="3"/>
  <c r="AZ242" i="3"/>
  <c r="AX242" i="3"/>
  <c r="AY242" i="3"/>
  <c r="AZ88" i="3"/>
  <c r="AX88" i="3"/>
  <c r="AY88" i="3"/>
  <c r="AB115" i="3"/>
  <c r="AZ115" i="3"/>
  <c r="AY195" i="3"/>
  <c r="AX195" i="3"/>
  <c r="AY193" i="3"/>
  <c r="AX193" i="3"/>
  <c r="AZ193" i="3"/>
  <c r="AX223" i="3"/>
  <c r="AY223" i="3"/>
  <c r="AZ223" i="3"/>
  <c r="AD233" i="3"/>
  <c r="AC233" i="3"/>
  <c r="AY108" i="3"/>
  <c r="AZ108" i="3"/>
  <c r="AX108" i="3"/>
  <c r="AC121" i="3"/>
  <c r="AD121" i="3"/>
  <c r="AC194" i="3"/>
  <c r="AD194" i="3"/>
  <c r="AD124" i="3"/>
  <c r="AC124" i="3"/>
  <c r="Y187" i="3"/>
  <c r="Z187" i="3"/>
  <c r="AX135" i="3"/>
  <c r="AY135" i="3"/>
  <c r="AC213" i="3"/>
  <c r="AD213" i="3"/>
  <c r="AB64" i="3"/>
  <c r="AY65" i="3"/>
  <c r="AX65" i="3"/>
  <c r="AC140" i="3"/>
  <c r="AD140" i="3"/>
  <c r="AD244" i="3"/>
  <c r="AC244" i="3"/>
  <c r="AY215" i="3"/>
  <c r="AX215" i="3"/>
  <c r="AX250" i="3"/>
  <c r="AY250" i="3"/>
  <c r="AX71" i="3"/>
  <c r="AY71" i="3"/>
  <c r="AZ213" i="3"/>
  <c r="AY213" i="3"/>
  <c r="AX213" i="3"/>
  <c r="AY222" i="3"/>
  <c r="AX222" i="3"/>
  <c r="AC76" i="3"/>
  <c r="AD76" i="3"/>
  <c r="AZ238" i="3"/>
  <c r="AY238" i="3"/>
  <c r="AX238" i="3"/>
  <c r="AB218" i="3"/>
  <c r="AD167" i="3"/>
  <c r="AC167" i="3"/>
  <c r="AX101" i="3"/>
  <c r="AY101" i="3"/>
  <c r="AX96" i="3"/>
  <c r="AY96" i="3"/>
  <c r="AX137" i="3"/>
  <c r="AY137" i="3"/>
  <c r="AZ137" i="3"/>
  <c r="AY200" i="3"/>
  <c r="AX200" i="3"/>
  <c r="AY68" i="3"/>
  <c r="AX68" i="3"/>
  <c r="AX170" i="3"/>
  <c r="AZ170" i="3"/>
  <c r="AY170" i="3"/>
  <c r="AZ90" i="3"/>
  <c r="AX90" i="3"/>
  <c r="AY90" i="3"/>
  <c r="AY123" i="3"/>
  <c r="AX123" i="3"/>
  <c r="AZ123" i="3"/>
  <c r="AZ207" i="3"/>
  <c r="AY207" i="3"/>
  <c r="AX207" i="3"/>
  <c r="AZ249" i="3"/>
  <c r="AY249" i="3"/>
  <c r="AX249" i="3"/>
  <c r="AZ263" i="3"/>
  <c r="AY263" i="3"/>
  <c r="AX263" i="3"/>
  <c r="H65" i="3"/>
  <c r="G65" i="3"/>
  <c r="G102" i="3"/>
  <c r="H102" i="3"/>
  <c r="Y100" i="3"/>
  <c r="Z100" i="3"/>
  <c r="G97" i="3"/>
  <c r="H97" i="3"/>
  <c r="G177" i="3"/>
  <c r="H177" i="3"/>
  <c r="AZ67" i="3"/>
  <c r="AY67" i="3"/>
  <c r="AX67" i="3"/>
  <c r="AX153" i="3"/>
  <c r="AY153" i="3"/>
  <c r="AZ153" i="3"/>
  <c r="Z250" i="3"/>
  <c r="Y250" i="3"/>
  <c r="X102" i="3"/>
  <c r="G176" i="3"/>
  <c r="H176" i="3"/>
  <c r="H72" i="3"/>
  <c r="G72" i="3"/>
  <c r="AW254" i="3"/>
  <c r="AD137" i="3"/>
  <c r="AC137" i="3"/>
  <c r="AD238" i="3"/>
  <c r="AC238" i="3"/>
  <c r="AX159" i="3"/>
  <c r="AY159" i="3"/>
  <c r="AZ159" i="3"/>
  <c r="AY110" i="3"/>
  <c r="AZ110" i="3"/>
  <c r="AX110" i="3"/>
  <c r="X185" i="3"/>
  <c r="AC178" i="3"/>
  <c r="AD178" i="3"/>
  <c r="AW156" i="3"/>
  <c r="AD120" i="3"/>
  <c r="AC120" i="3"/>
  <c r="G157" i="3"/>
  <c r="H157" i="3"/>
  <c r="X157" i="3"/>
  <c r="AX92" i="3"/>
  <c r="AY92" i="3"/>
  <c r="Z264" i="3"/>
  <c r="Y264" i="3"/>
  <c r="H197" i="3"/>
  <c r="G197" i="3"/>
  <c r="AW226" i="3"/>
  <c r="H112" i="3"/>
  <c r="G112" i="3"/>
  <c r="AC91" i="3"/>
  <c r="AD91" i="3"/>
  <c r="G91" i="3"/>
  <c r="H91" i="3"/>
  <c r="AW206" i="3"/>
  <c r="Z87" i="3"/>
  <c r="Y87" i="3"/>
  <c r="X105" i="3"/>
  <c r="AC202" i="3"/>
  <c r="AD202" i="3"/>
  <c r="AW74" i="3"/>
  <c r="H213" i="3"/>
  <c r="G213" i="3"/>
  <c r="AW69" i="3"/>
  <c r="G96" i="3"/>
  <c r="H96" i="3"/>
  <c r="AD260" i="3"/>
  <c r="AC260" i="3"/>
  <c r="H156" i="3"/>
  <c r="G156" i="3"/>
  <c r="Y77" i="3"/>
  <c r="Z77" i="3"/>
  <c r="H110" i="3"/>
  <c r="G110" i="3"/>
  <c r="AD147" i="3"/>
  <c r="AC147" i="3"/>
  <c r="AD193" i="3"/>
  <c r="AC193" i="3"/>
  <c r="AD210" i="3"/>
  <c r="AC210" i="3"/>
  <c r="G153" i="3"/>
  <c r="H153" i="3"/>
  <c r="G221" i="3"/>
  <c r="H221" i="3"/>
  <c r="AW147" i="3"/>
  <c r="AW203" i="3"/>
  <c r="AW259" i="3"/>
  <c r="AX219" i="3"/>
  <c r="AY219" i="3"/>
  <c r="Y146" i="3"/>
  <c r="Z146" i="3"/>
  <c r="Y240" i="3"/>
  <c r="Z240" i="3"/>
  <c r="AC107" i="3"/>
  <c r="AD107" i="3"/>
  <c r="AD126" i="3"/>
  <c r="AC126" i="3"/>
  <c r="Y106" i="3"/>
  <c r="Z106" i="3"/>
  <c r="AD159" i="3"/>
  <c r="AC159" i="3"/>
  <c r="H140" i="3"/>
  <c r="G140" i="3"/>
  <c r="H160" i="3"/>
  <c r="G160" i="3"/>
  <c r="AY232" i="3"/>
  <c r="AX232" i="3"/>
  <c r="AC261" i="3"/>
  <c r="AD261" i="3"/>
  <c r="AD141" i="3"/>
  <c r="AC141" i="3"/>
  <c r="AW106" i="3"/>
  <c r="AW237" i="3"/>
  <c r="AY228" i="3"/>
  <c r="AX228" i="3"/>
  <c r="AC83" i="3"/>
  <c r="AD83" i="3"/>
  <c r="AX149" i="3"/>
  <c r="AY149" i="3"/>
  <c r="AZ149" i="3"/>
  <c r="AZ205" i="3"/>
  <c r="AY205" i="3"/>
  <c r="AX205" i="3"/>
  <c r="Z164" i="3"/>
  <c r="Y164" i="3"/>
  <c r="G90" i="3"/>
  <c r="H90" i="3"/>
  <c r="AC192" i="3"/>
  <c r="AD192" i="3"/>
  <c r="AC251" i="3"/>
  <c r="AD251" i="3"/>
  <c r="H257" i="3"/>
  <c r="G257" i="3"/>
  <c r="Z247" i="3"/>
  <c r="Y247" i="3"/>
  <c r="H255" i="3"/>
  <c r="G255" i="3"/>
  <c r="X255" i="3"/>
  <c r="Y130" i="3"/>
  <c r="Z130" i="3"/>
  <c r="G206" i="3"/>
  <c r="H206" i="3"/>
  <c r="Y70" i="3"/>
  <c r="Z70" i="3"/>
  <c r="AC108" i="3"/>
  <c r="AD108" i="3"/>
  <c r="G105" i="3"/>
  <c r="H105" i="3"/>
  <c r="G139" i="3"/>
  <c r="H139" i="3"/>
  <c r="X139" i="3"/>
  <c r="AC154" i="3"/>
  <c r="AD154" i="3"/>
  <c r="AC211" i="3"/>
  <c r="AD211" i="3"/>
  <c r="AY133" i="3"/>
  <c r="AX133" i="3"/>
  <c r="AC177" i="3"/>
  <c r="AD177" i="3"/>
  <c r="AF95" i="3"/>
  <c r="Z95" i="3"/>
  <c r="Y95" i="3"/>
  <c r="AC84" i="3"/>
  <c r="AD84" i="3"/>
  <c r="Y169" i="3"/>
  <c r="Z169" i="3"/>
  <c r="AD212" i="3"/>
  <c r="AC212" i="3"/>
  <c r="AD242" i="3"/>
  <c r="AC242" i="3"/>
  <c r="H74" i="3"/>
  <c r="G74" i="3"/>
  <c r="H239" i="3"/>
  <c r="G239" i="3"/>
  <c r="AC205" i="3"/>
  <c r="AD205" i="3"/>
  <c r="AW225" i="3"/>
  <c r="AD252" i="3"/>
  <c r="AC252" i="3"/>
  <c r="H128" i="3"/>
  <c r="G128" i="3"/>
  <c r="Z80" i="3"/>
  <c r="Y80" i="3"/>
  <c r="AD174" i="3"/>
  <c r="AC174" i="3"/>
  <c r="H195" i="3"/>
  <c r="G195" i="3"/>
  <c r="X195" i="3"/>
  <c r="H260" i="3"/>
  <c r="G260" i="3"/>
  <c r="G242" i="3"/>
  <c r="H242" i="3"/>
  <c r="AW164" i="3"/>
  <c r="G233" i="3"/>
  <c r="H233" i="3"/>
  <c r="G172" i="3"/>
  <c r="H172" i="3"/>
  <c r="Z209" i="3"/>
  <c r="Y209" i="3"/>
  <c r="AZ128" i="3"/>
  <c r="H68" i="3"/>
  <c r="G68" i="3"/>
  <c r="AD151" i="3"/>
  <c r="AC151" i="3"/>
  <c r="AD132" i="3"/>
  <c r="AC132" i="3"/>
  <c r="Y71" i="3"/>
  <c r="Z71" i="3"/>
  <c r="AD143" i="3"/>
  <c r="AC143" i="3"/>
  <c r="G86" i="3"/>
  <c r="H86" i="3"/>
  <c r="Y150" i="3"/>
  <c r="Z150" i="3"/>
  <c r="G205" i="3"/>
  <c r="H205" i="3"/>
  <c r="AW109" i="3"/>
  <c r="H230" i="3"/>
  <c r="G230" i="3"/>
  <c r="AD227" i="3"/>
  <c r="AC227" i="3"/>
  <c r="H200" i="3"/>
  <c r="G200" i="3"/>
  <c r="G99" i="3"/>
  <c r="H99" i="3"/>
  <c r="AD256" i="3"/>
  <c r="AC256" i="3"/>
  <c r="AC162" i="3"/>
  <c r="AD162" i="3"/>
  <c r="AD128" i="3"/>
  <c r="AC128" i="3"/>
  <c r="AC220" i="3"/>
  <c r="AD220" i="3"/>
  <c r="H185" i="3"/>
  <c r="G185" i="3"/>
  <c r="AX83" i="3"/>
  <c r="AZ83" i="3"/>
  <c r="AY83" i="3"/>
  <c r="AY192" i="3"/>
  <c r="AZ192" i="3"/>
  <c r="AX192" i="3"/>
  <c r="AC203" i="3"/>
  <c r="AD203" i="3"/>
  <c r="AW120" i="3"/>
  <c r="G227" i="3"/>
  <c r="H227" i="3"/>
  <c r="AW258" i="3"/>
  <c r="AC110" i="3"/>
  <c r="AD110" i="3"/>
  <c r="AD237" i="3"/>
  <c r="AC237" i="3"/>
  <c r="AW131" i="3"/>
  <c r="AD113" i="3"/>
  <c r="AC113" i="3"/>
  <c r="Y191" i="3"/>
  <c r="Z191" i="3"/>
  <c r="X68" i="3"/>
  <c r="Y114" i="3"/>
  <c r="Z114" i="3"/>
  <c r="H76" i="3"/>
  <c r="G76" i="3"/>
  <c r="AD223" i="3"/>
  <c r="AC223" i="3"/>
  <c r="AD189" i="3"/>
  <c r="AC189" i="3"/>
  <c r="AD236" i="3"/>
  <c r="AC236" i="3"/>
  <c r="AD118" i="3"/>
  <c r="AC118" i="3"/>
  <c r="AD161" i="3"/>
  <c r="AC161" i="3"/>
  <c r="H148" i="3"/>
  <c r="G148" i="3"/>
  <c r="H228" i="3"/>
  <c r="G228" i="3"/>
  <c r="Y85" i="3"/>
  <c r="G151" i="3"/>
  <c r="H151" i="3"/>
  <c r="X257" i="3"/>
  <c r="G183" i="3"/>
  <c r="H183" i="3"/>
  <c r="Y196" i="3"/>
  <c r="Z196" i="3"/>
  <c r="G159" i="3"/>
  <c r="H159" i="3"/>
  <c r="G178" i="3"/>
  <c r="H178" i="3"/>
  <c r="AW143" i="3"/>
  <c r="AC176" i="3"/>
  <c r="AD176" i="3"/>
  <c r="G155" i="3"/>
  <c r="H155" i="3"/>
  <c r="AW75" i="3"/>
  <c r="Z168" i="3"/>
  <c r="Y168" i="3"/>
  <c r="G225" i="3"/>
  <c r="H225" i="3"/>
  <c r="X112" i="3"/>
  <c r="H119" i="3"/>
  <c r="G119" i="3"/>
  <c r="H258" i="3"/>
  <c r="G258" i="3"/>
  <c r="AW151" i="3"/>
  <c r="AW129" i="3"/>
  <c r="AW180" i="3"/>
  <c r="AW235" i="3"/>
  <c r="Y117" i="3"/>
  <c r="Z117" i="3"/>
  <c r="AC166" i="3"/>
  <c r="AD166" i="3"/>
  <c r="G89" i="3"/>
  <c r="H89" i="3"/>
  <c r="AW167" i="3"/>
  <c r="H144" i="3"/>
  <c r="G144" i="3"/>
  <c r="G107" i="3"/>
  <c r="H107" i="3"/>
  <c r="Y125" i="3"/>
  <c r="Z125" i="3"/>
  <c r="AX188" i="3" l="1"/>
  <c r="AX119" i="3"/>
  <c r="Y165" i="3"/>
  <c r="Y215" i="3"/>
  <c r="Z103" i="3"/>
  <c r="AZ176" i="3"/>
  <c r="BB176" i="3" s="1"/>
  <c r="AY97" i="3"/>
  <c r="AY176" i="3"/>
  <c r="AZ97" i="3"/>
  <c r="BB97" i="3" s="1"/>
  <c r="AY136" i="3"/>
  <c r="Z199" i="3"/>
  <c r="AY139" i="3"/>
  <c r="Y104" i="3"/>
  <c r="AY86" i="3"/>
  <c r="AX214" i="3"/>
  <c r="Z122" i="3"/>
  <c r="AF261" i="3"/>
  <c r="AG261" i="3" s="1"/>
  <c r="Y263" i="3"/>
  <c r="AZ214" i="3"/>
  <c r="BA214" i="3" s="1"/>
  <c r="AD214" i="3"/>
  <c r="Y261" i="3"/>
  <c r="AF66" i="3"/>
  <c r="AH66" i="3" s="1"/>
  <c r="AC117" i="3"/>
  <c r="Y162" i="3"/>
  <c r="Y241" i="3"/>
  <c r="AF263" i="3"/>
  <c r="AG263" i="3" s="1"/>
  <c r="AC99" i="3"/>
  <c r="AD117" i="3"/>
  <c r="Z162" i="3"/>
  <c r="AZ99" i="3"/>
  <c r="BB99" i="3" s="1"/>
  <c r="AD109" i="3"/>
  <c r="B96" i="1"/>
  <c r="B42" i="1" s="1"/>
  <c r="AC232" i="3"/>
  <c r="Z256" i="3"/>
  <c r="BD162" i="3"/>
  <c r="BF162" i="3" s="1"/>
  <c r="BI162" i="3" s="1"/>
  <c r="Z66" i="3"/>
  <c r="AF232" i="3"/>
  <c r="AG232" i="3" s="1"/>
  <c r="Z179" i="3"/>
  <c r="AZ232" i="3"/>
  <c r="BB232" i="3" s="1"/>
  <c r="AF179" i="3"/>
  <c r="AH179" i="3" s="1"/>
  <c r="AF256" i="3"/>
  <c r="AG256" i="3" s="1"/>
  <c r="AF74" i="3"/>
  <c r="AH74" i="3" s="1"/>
  <c r="AD122" i="3"/>
  <c r="AF122" i="3"/>
  <c r="AG122" i="3" s="1"/>
  <c r="Y248" i="3"/>
  <c r="AZ73" i="3"/>
  <c r="BD73" i="3" s="1"/>
  <c r="BF73" i="3" s="1"/>
  <c r="BI73" i="3" s="1"/>
  <c r="AF248" i="3"/>
  <c r="AG248" i="3" s="1"/>
  <c r="Y73" i="3"/>
  <c r="Y141" i="3"/>
  <c r="AF168" i="3"/>
  <c r="AG168" i="3" s="1"/>
  <c r="Z83" i="3"/>
  <c r="AD78" i="3"/>
  <c r="AD102" i="3"/>
  <c r="AD168" i="3"/>
  <c r="AC65" i="3"/>
  <c r="AZ65" i="3"/>
  <c r="BA65" i="3" s="1"/>
  <c r="AC78" i="3"/>
  <c r="Y237" i="3"/>
  <c r="AC158" i="3"/>
  <c r="AC136" i="3"/>
  <c r="AD247" i="3"/>
  <c r="AD74" i="3"/>
  <c r="Z94" i="3"/>
  <c r="Y79" i="3"/>
  <c r="Z237" i="3"/>
  <c r="AC247" i="3"/>
  <c r="AF136" i="3"/>
  <c r="AH136" i="3" s="1"/>
  <c r="AD182" i="3"/>
  <c r="AF182" i="3"/>
  <c r="AH182" i="3" s="1"/>
  <c r="AZ191" i="3"/>
  <c r="BD191" i="3" s="1"/>
  <c r="BF191" i="3" s="1"/>
  <c r="BI191" i="3" s="1"/>
  <c r="AZ82" i="3"/>
  <c r="BA82" i="3" s="1"/>
  <c r="AC82" i="3"/>
  <c r="BD79" i="3"/>
  <c r="BF79" i="3" s="1"/>
  <c r="BI79" i="3" s="1"/>
  <c r="Z79" i="3"/>
  <c r="AF130" i="3"/>
  <c r="AH130" i="3" s="1"/>
  <c r="AF73" i="3"/>
  <c r="AH73" i="3" s="1"/>
  <c r="AZ247" i="3"/>
  <c r="BD247" i="3" s="1"/>
  <c r="BE247" i="3" s="1"/>
  <c r="BH247" i="3" s="1"/>
  <c r="AZ158" i="3"/>
  <c r="BD158" i="3" s="1"/>
  <c r="BF158" i="3" s="1"/>
  <c r="BI158" i="3" s="1"/>
  <c r="AZ135" i="3"/>
  <c r="BD135" i="3" s="1"/>
  <c r="BE135" i="3" s="1"/>
  <c r="BH135" i="3" s="1"/>
  <c r="Z141" i="3"/>
  <c r="AD135" i="3"/>
  <c r="AF135" i="3"/>
  <c r="AG135" i="3" s="1"/>
  <c r="AZ136" i="3"/>
  <c r="BA136" i="3" s="1"/>
  <c r="AF191" i="3"/>
  <c r="AH191" i="3" s="1"/>
  <c r="AF204" i="3"/>
  <c r="AH204" i="3" s="1"/>
  <c r="AZ148" i="3"/>
  <c r="BD148" i="3" s="1"/>
  <c r="BE148" i="3" s="1"/>
  <c r="BH148" i="3" s="1"/>
  <c r="AD191" i="3"/>
  <c r="AC148" i="3"/>
  <c r="AF174" i="3"/>
  <c r="AH174" i="3" s="1"/>
  <c r="AZ195" i="3"/>
  <c r="BB195" i="3" s="1"/>
  <c r="AF77" i="3"/>
  <c r="AH77" i="3" s="1"/>
  <c r="AD130" i="3"/>
  <c r="Z174" i="3"/>
  <c r="BD67" i="3"/>
  <c r="BE67" i="3" s="1"/>
  <c r="BH67" i="3" s="1"/>
  <c r="AD77" i="3"/>
  <c r="AD68" i="3"/>
  <c r="Y126" i="3"/>
  <c r="AC119" i="3"/>
  <c r="AF164" i="3"/>
  <c r="AG164" i="3" s="1"/>
  <c r="AF106" i="3"/>
  <c r="AH106" i="3" s="1"/>
  <c r="AX264" i="3"/>
  <c r="Y132" i="3"/>
  <c r="AF241" i="3"/>
  <c r="AG241" i="3" s="1"/>
  <c r="AD240" i="3"/>
  <c r="AC229" i="3"/>
  <c r="AC71" i="3"/>
  <c r="AC152" i="3"/>
  <c r="Y127" i="3"/>
  <c r="Z184" i="3"/>
  <c r="AB246" i="3"/>
  <c r="AF246" i="3" s="1"/>
  <c r="AH246" i="3" s="1"/>
  <c r="AC160" i="3"/>
  <c r="Z126" i="3"/>
  <c r="Y204" i="3"/>
  <c r="Z120" i="3"/>
  <c r="AZ133" i="3"/>
  <c r="BD133" i="3" s="1"/>
  <c r="AZ119" i="3"/>
  <c r="BA119" i="3" s="1"/>
  <c r="AF120" i="3"/>
  <c r="AH120" i="3" s="1"/>
  <c r="AF132" i="3"/>
  <c r="AH132" i="3" s="1"/>
  <c r="AZ201" i="3"/>
  <c r="BA201" i="3" s="1"/>
  <c r="Y245" i="3"/>
  <c r="AZ152" i="3"/>
  <c r="BB152" i="3" s="1"/>
  <c r="AD71" i="3"/>
  <c r="Z245" i="3"/>
  <c r="AC201" i="3"/>
  <c r="AZ71" i="3"/>
  <c r="BD71" i="3" s="1"/>
  <c r="BF71" i="3" s="1"/>
  <c r="BI71" i="3" s="1"/>
  <c r="AD112" i="3"/>
  <c r="AD104" i="3"/>
  <c r="AF152" i="3"/>
  <c r="AG152" i="3" s="1"/>
  <c r="Z252" i="3"/>
  <c r="AC164" i="3"/>
  <c r="BD245" i="3"/>
  <c r="BF245" i="3" s="1"/>
  <c r="BI245" i="3" s="1"/>
  <c r="BD132" i="3"/>
  <c r="BE132" i="3" s="1"/>
  <c r="BH132" i="3" s="1"/>
  <c r="AZ160" i="3"/>
  <c r="BD160" i="3" s="1"/>
  <c r="AD157" i="3"/>
  <c r="AF160" i="3"/>
  <c r="AG160" i="3" s="1"/>
  <c r="AZ157" i="3"/>
  <c r="BA157" i="3" s="1"/>
  <c r="Z118" i="3"/>
  <c r="AF118" i="3"/>
  <c r="AG118" i="3" s="1"/>
  <c r="Z170" i="3"/>
  <c r="AZ130" i="3"/>
  <c r="BD130" i="3" s="1"/>
  <c r="BF130" i="3" s="1"/>
  <c r="BI130" i="3" s="1"/>
  <c r="Y94" i="3"/>
  <c r="AF67" i="3"/>
  <c r="AH67" i="3" s="1"/>
  <c r="AF133" i="3"/>
  <c r="AG133" i="3" s="1"/>
  <c r="AC195" i="3"/>
  <c r="AF229" i="3"/>
  <c r="AG229" i="3" s="1"/>
  <c r="AF125" i="3"/>
  <c r="AH125" i="3" s="1"/>
  <c r="AD103" i="3"/>
  <c r="AZ125" i="3"/>
  <c r="BD125" i="3" s="1"/>
  <c r="BE125" i="3" s="1"/>
  <c r="BH125" i="3" s="1"/>
  <c r="AZ85" i="3"/>
  <c r="BD85" i="3" s="1"/>
  <c r="BE85" i="3" s="1"/>
  <c r="BH85" i="3" s="1"/>
  <c r="Y108" i="3"/>
  <c r="AC72" i="3"/>
  <c r="BD170" i="3"/>
  <c r="BF170" i="3" s="1"/>
  <c r="BI170" i="3" s="1"/>
  <c r="AZ200" i="3"/>
  <c r="BA200" i="3" s="1"/>
  <c r="AF218" i="3"/>
  <c r="AH218" i="3" s="1"/>
  <c r="Z67" i="3"/>
  <c r="AZ103" i="3"/>
  <c r="BA103" i="3" s="1"/>
  <c r="AC250" i="3"/>
  <c r="AF119" i="3"/>
  <c r="AH119" i="3" s="1"/>
  <c r="AC125" i="3"/>
  <c r="AD165" i="3"/>
  <c r="AD200" i="3"/>
  <c r="Y166" i="3"/>
  <c r="AC206" i="3"/>
  <c r="AF81" i="3"/>
  <c r="AH81" i="3" s="1"/>
  <c r="AF206" i="3"/>
  <c r="AH206" i="3" s="1"/>
  <c r="AF127" i="3"/>
  <c r="AH127" i="3" s="1"/>
  <c r="AD144" i="3"/>
  <c r="AF83" i="3"/>
  <c r="AH83" i="3" s="1"/>
  <c r="AF175" i="3"/>
  <c r="AH175" i="3" s="1"/>
  <c r="AF93" i="3"/>
  <c r="AG93" i="3" s="1"/>
  <c r="Z115" i="3"/>
  <c r="AF131" i="3"/>
  <c r="AG131" i="3" s="1"/>
  <c r="AF234" i="3"/>
  <c r="AG234" i="3" s="1"/>
  <c r="AC146" i="3"/>
  <c r="AD89" i="3"/>
  <c r="AD185" i="3"/>
  <c r="AZ255" i="3"/>
  <c r="BA255" i="3" s="1"/>
  <c r="Y194" i="3"/>
  <c r="AF254" i="3"/>
  <c r="AH254" i="3" s="1"/>
  <c r="AC106" i="3"/>
  <c r="AD105" i="3"/>
  <c r="Y184" i="3"/>
  <c r="Y143" i="3"/>
  <c r="AF244" i="3"/>
  <c r="AH244" i="3" s="1"/>
  <c r="Y81" i="3"/>
  <c r="AF194" i="3"/>
  <c r="AG194" i="3" s="1"/>
  <c r="AF69" i="3"/>
  <c r="AG69" i="3" s="1"/>
  <c r="AD156" i="3"/>
  <c r="AD69" i="3"/>
  <c r="AZ264" i="3"/>
  <c r="BD264" i="3" s="1"/>
  <c r="BF264" i="3" s="1"/>
  <c r="BI264" i="3" s="1"/>
  <c r="AF262" i="3"/>
  <c r="AH262" i="3" s="1"/>
  <c r="AC217" i="3"/>
  <c r="Y243" i="3"/>
  <c r="Y254" i="3"/>
  <c r="AC258" i="3"/>
  <c r="AF253" i="3"/>
  <c r="AH253" i="3" s="1"/>
  <c r="AZ217" i="3"/>
  <c r="BD217" i="3" s="1"/>
  <c r="BD81" i="3"/>
  <c r="BE81" i="3" s="1"/>
  <c r="BH81" i="3" s="1"/>
  <c r="AD255" i="3"/>
  <c r="AF243" i="3"/>
  <c r="AH243" i="3" s="1"/>
  <c r="AF235" i="3"/>
  <c r="AG235" i="3" s="1"/>
  <c r="AZ105" i="3"/>
  <c r="BD105" i="3" s="1"/>
  <c r="AF264" i="3"/>
  <c r="AG264" i="3" s="1"/>
  <c r="AC262" i="3"/>
  <c r="Z98" i="3"/>
  <c r="AD235" i="3"/>
  <c r="AF98" i="3"/>
  <c r="AH98" i="3" s="1"/>
  <c r="AC133" i="3"/>
  <c r="AD264" i="3"/>
  <c r="AZ222" i="3"/>
  <c r="BA222" i="3" s="1"/>
  <c r="Y93" i="3"/>
  <c r="AF209" i="3"/>
  <c r="AH209" i="3" s="1"/>
  <c r="AF146" i="3"/>
  <c r="AH146" i="3" s="1"/>
  <c r="AD241" i="3"/>
  <c r="Y121" i="3"/>
  <c r="AD175" i="3"/>
  <c r="AD75" i="3"/>
  <c r="AF124" i="3"/>
  <c r="AH124" i="3" s="1"/>
  <c r="AF115" i="3"/>
  <c r="AG115" i="3" s="1"/>
  <c r="AC181" i="3"/>
  <c r="AC101" i="3"/>
  <c r="AF165" i="3"/>
  <c r="AG165" i="3" s="1"/>
  <c r="AZ229" i="3"/>
  <c r="BB229" i="3" s="1"/>
  <c r="AC215" i="3"/>
  <c r="Y124" i="3"/>
  <c r="AZ104" i="3"/>
  <c r="BB104" i="3" s="1"/>
  <c r="AZ240" i="3"/>
  <c r="BA240" i="3" s="1"/>
  <c r="AZ100" i="3"/>
  <c r="BA100" i="3" s="1"/>
  <c r="AF104" i="3"/>
  <c r="AG104" i="3" s="1"/>
  <c r="AF251" i="3"/>
  <c r="AH251" i="3" s="1"/>
  <c r="AC103" i="3"/>
  <c r="AZ250" i="3"/>
  <c r="BD250" i="3" s="1"/>
  <c r="BF250" i="3" s="1"/>
  <c r="BI250" i="3" s="1"/>
  <c r="Z143" i="3"/>
  <c r="AF224" i="3"/>
  <c r="AG224" i="3" s="1"/>
  <c r="Z147" i="3"/>
  <c r="Y158" i="3"/>
  <c r="AF190" i="3"/>
  <c r="AG190" i="3" s="1"/>
  <c r="AC129" i="3"/>
  <c r="AC70" i="3"/>
  <c r="Y253" i="3"/>
  <c r="BD190" i="3"/>
  <c r="BE190" i="3" s="1"/>
  <c r="BH190" i="3" s="1"/>
  <c r="AF92" i="3"/>
  <c r="AG92" i="3" s="1"/>
  <c r="AD139" i="3"/>
  <c r="Y147" i="3"/>
  <c r="Y149" i="3"/>
  <c r="AF196" i="3"/>
  <c r="AG196" i="3" s="1"/>
  <c r="Y244" i="3"/>
  <c r="AD226" i="3"/>
  <c r="Z224" i="3"/>
  <c r="AD259" i="3"/>
  <c r="AD187" i="3"/>
  <c r="AF220" i="3"/>
  <c r="AG220" i="3" s="1"/>
  <c r="AC230" i="3"/>
  <c r="AF70" i="3"/>
  <c r="AG70" i="3" s="1"/>
  <c r="AF240" i="3"/>
  <c r="AH240" i="3" s="1"/>
  <c r="AD142" i="3"/>
  <c r="AF250" i="3"/>
  <c r="AH250" i="3" s="1"/>
  <c r="AF205" i="3"/>
  <c r="AH205" i="3" s="1"/>
  <c r="AZ139" i="3"/>
  <c r="BB139" i="3" s="1"/>
  <c r="AF149" i="3"/>
  <c r="AH149" i="3" s="1"/>
  <c r="AD196" i="3"/>
  <c r="AF222" i="3"/>
  <c r="AH222" i="3" s="1"/>
  <c r="AD222" i="3"/>
  <c r="AF72" i="3"/>
  <c r="AG72" i="3" s="1"/>
  <c r="AF158" i="3"/>
  <c r="AH158" i="3" s="1"/>
  <c r="AD257" i="3"/>
  <c r="AZ92" i="3"/>
  <c r="BB92" i="3" s="1"/>
  <c r="AF142" i="3"/>
  <c r="AG142" i="3" s="1"/>
  <c r="Z166" i="3"/>
  <c r="AZ257" i="3"/>
  <c r="BB257" i="3" s="1"/>
  <c r="AF100" i="3"/>
  <c r="AG100" i="3" s="1"/>
  <c r="AZ86" i="3"/>
  <c r="BD86" i="3" s="1"/>
  <c r="Z205" i="3"/>
  <c r="BD124" i="3"/>
  <c r="BF124" i="3" s="1"/>
  <c r="BI124" i="3" s="1"/>
  <c r="AZ169" i="3"/>
  <c r="BD169" i="3" s="1"/>
  <c r="BE169" i="3" s="1"/>
  <c r="BH169" i="3" s="1"/>
  <c r="AC100" i="3"/>
  <c r="AC87" i="3"/>
  <c r="AF215" i="3"/>
  <c r="AH215" i="3" s="1"/>
  <c r="Z251" i="3"/>
  <c r="AD228" i="3"/>
  <c r="Z220" i="3"/>
  <c r="Z190" i="3"/>
  <c r="AZ228" i="3"/>
  <c r="BB228" i="3" s="1"/>
  <c r="AZ215" i="3"/>
  <c r="BA215" i="3" s="1"/>
  <c r="AF187" i="3"/>
  <c r="AG187" i="3" s="1"/>
  <c r="AZ186" i="3"/>
  <c r="BD186" i="3" s="1"/>
  <c r="AD92" i="3"/>
  <c r="AD209" i="3"/>
  <c r="AC186" i="3"/>
  <c r="AD169" i="3"/>
  <c r="AZ187" i="3"/>
  <c r="BA187" i="3" s="1"/>
  <c r="AF150" i="3"/>
  <c r="AH150" i="3" s="1"/>
  <c r="AF80" i="3"/>
  <c r="AH80" i="3" s="1"/>
  <c r="AD219" i="3"/>
  <c r="AF169" i="3"/>
  <c r="AG169" i="3" s="1"/>
  <c r="AF193" i="3"/>
  <c r="AH193" i="3" s="1"/>
  <c r="AZ68" i="3"/>
  <c r="BD68" i="3" s="1"/>
  <c r="AZ101" i="3"/>
  <c r="BA101" i="3" s="1"/>
  <c r="AC75" i="3"/>
  <c r="AF123" i="3"/>
  <c r="AG123" i="3" s="1"/>
  <c r="AF101" i="3"/>
  <c r="AG101" i="3" s="1"/>
  <c r="Z193" i="3"/>
  <c r="AF181" i="3"/>
  <c r="AH181" i="3" s="1"/>
  <c r="AD150" i="3"/>
  <c r="AF121" i="3"/>
  <c r="AH121" i="3" s="1"/>
  <c r="Z116" i="3"/>
  <c r="AF252" i="3"/>
  <c r="AG252" i="3" s="1"/>
  <c r="AZ80" i="3"/>
  <c r="BB80" i="3" s="1"/>
  <c r="AF84" i="3"/>
  <c r="AG84" i="3" s="1"/>
  <c r="AZ188" i="3"/>
  <c r="BD188" i="3" s="1"/>
  <c r="BF188" i="3" s="1"/>
  <c r="BI188" i="3" s="1"/>
  <c r="AC188" i="3"/>
  <c r="Z210" i="3"/>
  <c r="AZ219" i="3"/>
  <c r="BB219" i="3" s="1"/>
  <c r="AF173" i="3"/>
  <c r="AH173" i="3" s="1"/>
  <c r="AD239" i="3"/>
  <c r="AD145" i="3"/>
  <c r="Y116" i="3"/>
  <c r="AD86" i="3"/>
  <c r="AX73" i="3"/>
  <c r="AF167" i="3"/>
  <c r="AG167" i="3" s="1"/>
  <c r="AZ145" i="3"/>
  <c r="BB145" i="3" s="1"/>
  <c r="BD116" i="3"/>
  <c r="BF116" i="3" s="1"/>
  <c r="BI116" i="3" s="1"/>
  <c r="AD87" i="3"/>
  <c r="AD198" i="3"/>
  <c r="Z131" i="3"/>
  <c r="AD80" i="3"/>
  <c r="Z84" i="3"/>
  <c r="Y173" i="3"/>
  <c r="AZ96" i="3"/>
  <c r="BB96" i="3" s="1"/>
  <c r="Z234" i="3"/>
  <c r="AF258" i="3"/>
  <c r="AH258" i="3" s="1"/>
  <c r="AF198" i="3"/>
  <c r="AH198" i="3" s="1"/>
  <c r="AF114" i="3"/>
  <c r="AG114" i="3" s="1"/>
  <c r="AF134" i="3"/>
  <c r="AG134" i="3" s="1"/>
  <c r="AC114" i="3"/>
  <c r="AF188" i="3"/>
  <c r="AG188" i="3" s="1"/>
  <c r="Z108" i="3"/>
  <c r="Z218" i="3"/>
  <c r="Y134" i="3"/>
  <c r="Y170" i="3"/>
  <c r="Z72" i="3"/>
  <c r="AC85" i="3"/>
  <c r="AC96" i="3"/>
  <c r="AF85" i="3"/>
  <c r="AH85" i="3" s="1"/>
  <c r="AF199" i="3"/>
  <c r="AH199" i="3" s="1"/>
  <c r="AD253" i="3"/>
  <c r="AD183" i="3"/>
  <c r="AD199" i="3"/>
  <c r="Z113" i="3"/>
  <c r="Y180" i="3"/>
  <c r="AX252" i="3"/>
  <c r="AC253" i="3"/>
  <c r="Y210" i="3"/>
  <c r="BD108" i="3"/>
  <c r="BE108" i="3" s="1"/>
  <c r="BH108" i="3" s="1"/>
  <c r="Z167" i="3"/>
  <c r="AF226" i="3"/>
  <c r="AG226" i="3" s="1"/>
  <c r="AF183" i="3"/>
  <c r="AG183" i="3" s="1"/>
  <c r="AF86" i="3"/>
  <c r="AG86" i="3" s="1"/>
  <c r="AF180" i="3"/>
  <c r="AH180" i="3" s="1"/>
  <c r="Z123" i="3"/>
  <c r="BD84" i="3"/>
  <c r="BE84" i="3" s="1"/>
  <c r="BH84" i="3" s="1"/>
  <c r="AZ199" i="3"/>
  <c r="BD199" i="3" s="1"/>
  <c r="BF199" i="3" s="1"/>
  <c r="BI199" i="3" s="1"/>
  <c r="AF113" i="3"/>
  <c r="AH113" i="3" s="1"/>
  <c r="AY241" i="3"/>
  <c r="AX231" i="3"/>
  <c r="AZ231" i="3"/>
  <c r="BB231" i="3" s="1"/>
  <c r="AY134" i="3"/>
  <c r="AZ134" i="3"/>
  <c r="BD134" i="3" s="1"/>
  <c r="BE134" i="3" s="1"/>
  <c r="BH134" i="3" s="1"/>
  <c r="AZ252" i="3"/>
  <c r="BD252" i="3" s="1"/>
  <c r="BE252" i="3" s="1"/>
  <c r="BH252" i="3" s="1"/>
  <c r="AX224" i="3"/>
  <c r="AY224" i="3"/>
  <c r="Z207" i="3"/>
  <c r="AZ241" i="3"/>
  <c r="BD241" i="3" s="1"/>
  <c r="BE241" i="3" s="1"/>
  <c r="BH241" i="3" s="1"/>
  <c r="AZ87" i="3"/>
  <c r="BB87" i="3" s="1"/>
  <c r="AF207" i="3"/>
  <c r="AH207" i="3" s="1"/>
  <c r="AY251" i="3"/>
  <c r="AY87" i="3"/>
  <c r="AZ118" i="3"/>
  <c r="BD118" i="3" s="1"/>
  <c r="BF118" i="3" s="1"/>
  <c r="BI118" i="3" s="1"/>
  <c r="AZ77" i="3"/>
  <c r="BA77" i="3" s="1"/>
  <c r="AX220" i="3"/>
  <c r="AX77" i="3"/>
  <c r="AY220" i="3"/>
  <c r="AX191" i="3"/>
  <c r="AY191" i="3"/>
  <c r="AZ168" i="3"/>
  <c r="BD168" i="3" s="1"/>
  <c r="BE168" i="3" s="1"/>
  <c r="BH168" i="3" s="1"/>
  <c r="AX168" i="3"/>
  <c r="AY94" i="3"/>
  <c r="AZ150" i="3"/>
  <c r="BD150" i="3" s="1"/>
  <c r="BF150" i="3" s="1"/>
  <c r="BI150" i="3" s="1"/>
  <c r="AX251" i="3"/>
  <c r="AY118" i="3"/>
  <c r="AY229" i="3"/>
  <c r="AX150" i="3"/>
  <c r="AZ181" i="3"/>
  <c r="BA181" i="3" s="1"/>
  <c r="AZ76" i="3"/>
  <c r="BA76" i="3" s="1"/>
  <c r="AZ94" i="3"/>
  <c r="BA94" i="3" s="1"/>
  <c r="AX105" i="3"/>
  <c r="AX89" i="3"/>
  <c r="AY239" i="3"/>
  <c r="AX117" i="3"/>
  <c r="AX98" i="3"/>
  <c r="AY196" i="3"/>
  <c r="AZ117" i="3"/>
  <c r="BD117" i="3" s="1"/>
  <c r="BF117" i="3" s="1"/>
  <c r="BI117" i="3" s="1"/>
  <c r="AY98" i="3"/>
  <c r="AZ209" i="3"/>
  <c r="BD209" i="3" s="1"/>
  <c r="BF209" i="3" s="1"/>
  <c r="BI209" i="3" s="1"/>
  <c r="AY204" i="3"/>
  <c r="AZ174" i="3"/>
  <c r="BD174" i="3" s="1"/>
  <c r="AX209" i="3"/>
  <c r="AZ196" i="3"/>
  <c r="BD196" i="3" s="1"/>
  <c r="BE196" i="3" s="1"/>
  <c r="BH196" i="3" s="1"/>
  <c r="AY105" i="3"/>
  <c r="AZ204" i="3"/>
  <c r="BA204" i="3" s="1"/>
  <c r="AZ173" i="3"/>
  <c r="BD173" i="3" s="1"/>
  <c r="BF173" i="3" s="1"/>
  <c r="BI173" i="3" s="1"/>
  <c r="AF129" i="3"/>
  <c r="AH129" i="3" s="1"/>
  <c r="AZ239" i="3"/>
  <c r="BB239" i="3" s="1"/>
  <c r="AX229" i="3"/>
  <c r="AX113" i="3"/>
  <c r="AZ142" i="3"/>
  <c r="BD142" i="3" s="1"/>
  <c r="BE142" i="3" s="1"/>
  <c r="BH142" i="3" s="1"/>
  <c r="AX181" i="3"/>
  <c r="AZ244" i="3"/>
  <c r="BA244" i="3" s="1"/>
  <c r="AX76" i="3"/>
  <c r="AZ113" i="3"/>
  <c r="BB113" i="3" s="1"/>
  <c r="AX142" i="3"/>
  <c r="AZ89" i="3"/>
  <c r="BB89" i="3" s="1"/>
  <c r="AZ175" i="3"/>
  <c r="BD175" i="3" s="1"/>
  <c r="BF175" i="3" s="1"/>
  <c r="BI175" i="3" s="1"/>
  <c r="AZ72" i="3"/>
  <c r="BB72" i="3" s="1"/>
  <c r="AX173" i="3"/>
  <c r="AZ163" i="3"/>
  <c r="BD163" i="3" s="1"/>
  <c r="BE163" i="3" s="1"/>
  <c r="BH163" i="3" s="1"/>
  <c r="AY163" i="3"/>
  <c r="AY157" i="3"/>
  <c r="AY72" i="3"/>
  <c r="AY175" i="3"/>
  <c r="AY261" i="3"/>
  <c r="AX157" i="3"/>
  <c r="AZ261" i="3"/>
  <c r="BD261" i="3" s="1"/>
  <c r="BF261" i="3" s="1"/>
  <c r="BI261" i="3" s="1"/>
  <c r="AX211" i="3"/>
  <c r="AY244" i="3"/>
  <c r="AZ243" i="3"/>
  <c r="BB243" i="3" s="1"/>
  <c r="AY66" i="3"/>
  <c r="AY107" i="3"/>
  <c r="AZ221" i="3"/>
  <c r="BA221" i="3" s="1"/>
  <c r="AX174" i="3"/>
  <c r="AZ185" i="3"/>
  <c r="BA185" i="3" s="1"/>
  <c r="AY185" i="3"/>
  <c r="AX66" i="3"/>
  <c r="AZ93" i="3"/>
  <c r="BB93" i="3" s="1"/>
  <c r="AY221" i="3"/>
  <c r="AX243" i="3"/>
  <c r="AZ211" i="3"/>
  <c r="BA211" i="3" s="1"/>
  <c r="AY93" i="3"/>
  <c r="AX178" i="3"/>
  <c r="AX260" i="3"/>
  <c r="AY122" i="3"/>
  <c r="AY208" i="3"/>
  <c r="AY158" i="3"/>
  <c r="AX208" i="3"/>
  <c r="AX112" i="3"/>
  <c r="AZ112" i="3"/>
  <c r="BB112" i="3" s="1"/>
  <c r="AZ141" i="3"/>
  <c r="BD141" i="3" s="1"/>
  <c r="BF141" i="3" s="1"/>
  <c r="BI141" i="3" s="1"/>
  <c r="AZ107" i="3"/>
  <c r="BA107" i="3" s="1"/>
  <c r="AY141" i="3"/>
  <c r="AY178" i="3"/>
  <c r="AZ260" i="3"/>
  <c r="BB260" i="3" s="1"/>
  <c r="AX158" i="3"/>
  <c r="AZ256" i="3"/>
  <c r="BB256" i="3" s="1"/>
  <c r="AY171" i="3"/>
  <c r="AZ91" i="3"/>
  <c r="BD91" i="3" s="1"/>
  <c r="BE91" i="3" s="1"/>
  <c r="BH91" i="3" s="1"/>
  <c r="AX165" i="3"/>
  <c r="AZ171" i="3"/>
  <c r="BD171" i="3" s="1"/>
  <c r="BE171" i="3" s="1"/>
  <c r="BH171" i="3" s="1"/>
  <c r="AY91" i="3"/>
  <c r="AZ165" i="3"/>
  <c r="BD165" i="3" s="1"/>
  <c r="BE165" i="3" s="1"/>
  <c r="BH165" i="3" s="1"/>
  <c r="AF219" i="3"/>
  <c r="AG219" i="3" s="1"/>
  <c r="Y219" i="3"/>
  <c r="Y189" i="3"/>
  <c r="Z136" i="3"/>
  <c r="AX182" i="3"/>
  <c r="AY256" i="3"/>
  <c r="AX247" i="3"/>
  <c r="AZ182" i="3"/>
  <c r="BA182" i="3" s="1"/>
  <c r="AY172" i="3"/>
  <c r="AZ218" i="3"/>
  <c r="BB218" i="3" s="1"/>
  <c r="AZ122" i="3"/>
  <c r="BD122" i="3" s="1"/>
  <c r="AY218" i="3"/>
  <c r="AZ189" i="3"/>
  <c r="BB189" i="3" s="1"/>
  <c r="AY114" i="3"/>
  <c r="AZ198" i="3"/>
  <c r="BD198" i="3" s="1"/>
  <c r="AX202" i="3"/>
  <c r="AZ114" i="3"/>
  <c r="BA114" i="3" s="1"/>
  <c r="AX198" i="3"/>
  <c r="AY262" i="3"/>
  <c r="AX179" i="3"/>
  <c r="AZ172" i="3"/>
  <c r="BB172" i="3" s="1"/>
  <c r="AY189" i="3"/>
  <c r="AZ179" i="3"/>
  <c r="BD179" i="3" s="1"/>
  <c r="AZ227" i="3"/>
  <c r="BB227" i="3" s="1"/>
  <c r="AZ202" i="3"/>
  <c r="BA202" i="3" s="1"/>
  <c r="Z178" i="3"/>
  <c r="AF189" i="3"/>
  <c r="AG189" i="3" s="1"/>
  <c r="AZ262" i="3"/>
  <c r="BD262" i="3" s="1"/>
  <c r="AY247" i="3"/>
  <c r="AZ236" i="3"/>
  <c r="BB236" i="3" s="1"/>
  <c r="AZ126" i="3"/>
  <c r="BD126" i="3" s="1"/>
  <c r="BF126" i="3" s="1"/>
  <c r="BI126" i="3" s="1"/>
  <c r="Y136" i="3"/>
  <c r="Y178" i="3"/>
  <c r="BD178" i="3"/>
  <c r="BF178" i="3" s="1"/>
  <c r="BI178" i="3" s="1"/>
  <c r="AY210" i="3"/>
  <c r="AZ102" i="3"/>
  <c r="BD102" i="3" s="1"/>
  <c r="AX85" i="3"/>
  <c r="AZ111" i="3"/>
  <c r="BD111" i="3" s="1"/>
  <c r="BF111" i="3" s="1"/>
  <c r="BI111" i="3" s="1"/>
  <c r="AZ144" i="3"/>
  <c r="BB144" i="3" s="1"/>
  <c r="AY248" i="3"/>
  <c r="AX236" i="3"/>
  <c r="AX111" i="3"/>
  <c r="AX126" i="3"/>
  <c r="AY85" i="3"/>
  <c r="AZ248" i="3"/>
  <c r="BD248" i="3" s="1"/>
  <c r="BE248" i="3" s="1"/>
  <c r="BH248" i="3" s="1"/>
  <c r="AY127" i="3"/>
  <c r="AX146" i="3"/>
  <c r="AY78" i="3"/>
  <c r="AX144" i="3"/>
  <c r="AZ230" i="3"/>
  <c r="BB230" i="3" s="1"/>
  <c r="AX194" i="3"/>
  <c r="AZ194" i="3"/>
  <c r="BD194" i="3" s="1"/>
  <c r="BF194" i="3" s="1"/>
  <c r="BI194" i="3" s="1"/>
  <c r="AF145" i="3"/>
  <c r="AH145" i="3" s="1"/>
  <c r="AX230" i="3"/>
  <c r="AZ78" i="3"/>
  <c r="BB78" i="3" s="1"/>
  <c r="AX121" i="3"/>
  <c r="AX234" i="3"/>
  <c r="AZ127" i="3"/>
  <c r="BD127" i="3" s="1"/>
  <c r="BE127" i="3" s="1"/>
  <c r="BH127" i="3" s="1"/>
  <c r="AZ146" i="3"/>
  <c r="BD146" i="3" s="1"/>
  <c r="BF146" i="3" s="1"/>
  <c r="BI146" i="3" s="1"/>
  <c r="AZ121" i="3"/>
  <c r="BD121" i="3" s="1"/>
  <c r="BE121" i="3" s="1"/>
  <c r="BH121" i="3" s="1"/>
  <c r="AZ234" i="3"/>
  <c r="BB234" i="3" s="1"/>
  <c r="AF200" i="3"/>
  <c r="AG200" i="3" s="1"/>
  <c r="AY212" i="3"/>
  <c r="AZ183" i="3"/>
  <c r="BA183" i="3" s="1"/>
  <c r="AZ212" i="3"/>
  <c r="BA212" i="3" s="1"/>
  <c r="AX177" i="3"/>
  <c r="AX70" i="3"/>
  <c r="AX233" i="3"/>
  <c r="Y200" i="3"/>
  <c r="AX183" i="3"/>
  <c r="AY177" i="3"/>
  <c r="AZ70" i="3"/>
  <c r="BD70" i="3" s="1"/>
  <c r="BE70" i="3" s="1"/>
  <c r="BH70" i="3" s="1"/>
  <c r="AY253" i="3"/>
  <c r="AY79" i="3"/>
  <c r="AY227" i="3"/>
  <c r="AZ253" i="3"/>
  <c r="BD253" i="3" s="1"/>
  <c r="BE253" i="3" s="1"/>
  <c r="BH253" i="3" s="1"/>
  <c r="AX79" i="3"/>
  <c r="AX102" i="3"/>
  <c r="Z161" i="3"/>
  <c r="Z186" i="3"/>
  <c r="AF201" i="3"/>
  <c r="AG201" i="3" s="1"/>
  <c r="AG103" i="3"/>
  <c r="Y64" i="3"/>
  <c r="Z201" i="3"/>
  <c r="Z202" i="3"/>
  <c r="AF228" i="3"/>
  <c r="AH228" i="3" s="1"/>
  <c r="BD64" i="3"/>
  <c r="BE64" i="3" s="1"/>
  <c r="BH64" i="3" s="1"/>
  <c r="BD223" i="3"/>
  <c r="BF223" i="3" s="1"/>
  <c r="BI223" i="3" s="1"/>
  <c r="Y154" i="3"/>
  <c r="Z233" i="3"/>
  <c r="AF154" i="3"/>
  <c r="AH154" i="3" s="1"/>
  <c r="Z222" i="3"/>
  <c r="Z160" i="3"/>
  <c r="Y216" i="3"/>
  <c r="Z217" i="3"/>
  <c r="Z246" i="3"/>
  <c r="Z236" i="3"/>
  <c r="BD246" i="3"/>
  <c r="BF246" i="3" s="1"/>
  <c r="BI246" i="3" s="1"/>
  <c r="AF236" i="3"/>
  <c r="AH236" i="3" s="1"/>
  <c r="AF91" i="3"/>
  <c r="AH91" i="3" s="1"/>
  <c r="AF217" i="3"/>
  <c r="AG217" i="3" s="1"/>
  <c r="AF107" i="3"/>
  <c r="AH107" i="3" s="1"/>
  <c r="Y160" i="3"/>
  <c r="BD216" i="3"/>
  <c r="BE216" i="3" s="1"/>
  <c r="BH216" i="3" s="1"/>
  <c r="Y107" i="3"/>
  <c r="Y161" i="3"/>
  <c r="Y233" i="3"/>
  <c r="AF186" i="3"/>
  <c r="AH186" i="3" s="1"/>
  <c r="Y222" i="3"/>
  <c r="Z129" i="3"/>
  <c r="Y223" i="3"/>
  <c r="Z152" i="3"/>
  <c r="Y152" i="3"/>
  <c r="Y91" i="3"/>
  <c r="Y206" i="3"/>
  <c r="AF82" i="3"/>
  <c r="AG82" i="3" s="1"/>
  <c r="Z82" i="3"/>
  <c r="Z259" i="3"/>
  <c r="Z203" i="3"/>
  <c r="AF259" i="3"/>
  <c r="AG259" i="3" s="1"/>
  <c r="AF203" i="3"/>
  <c r="AH203" i="3" s="1"/>
  <c r="AF214" i="3"/>
  <c r="AH214" i="3" s="1"/>
  <c r="AF223" i="3"/>
  <c r="AH223" i="3" s="1"/>
  <c r="Z249" i="3"/>
  <c r="AF249" i="3"/>
  <c r="AG249" i="3" s="1"/>
  <c r="Y214" i="3"/>
  <c r="Z128" i="3"/>
  <c r="Z206" i="3"/>
  <c r="BA216" i="3"/>
  <c r="BB184" i="3"/>
  <c r="BD128" i="3"/>
  <c r="BF128" i="3" s="1"/>
  <c r="BI128" i="3" s="1"/>
  <c r="Z110" i="3"/>
  <c r="Z109" i="3"/>
  <c r="Z227" i="3"/>
  <c r="BD184" i="3"/>
  <c r="BE184" i="3" s="1"/>
  <c r="BH184" i="3" s="1"/>
  <c r="AF163" i="3"/>
  <c r="AH163" i="3" s="1"/>
  <c r="Z111" i="3"/>
  <c r="Z163" i="3"/>
  <c r="Z155" i="3"/>
  <c r="AF155" i="3"/>
  <c r="AG155" i="3" s="1"/>
  <c r="AF111" i="3"/>
  <c r="AH111" i="3" s="1"/>
  <c r="BB208" i="3"/>
  <c r="Y145" i="3"/>
  <c r="AF238" i="3"/>
  <c r="AH238" i="3" s="1"/>
  <c r="Y238" i="3"/>
  <c r="Y171" i="3"/>
  <c r="AF212" i="3"/>
  <c r="AG212" i="3" s="1"/>
  <c r="Y258" i="3"/>
  <c r="AZ210" i="3"/>
  <c r="BA210" i="3" s="1"/>
  <c r="Y128" i="3"/>
  <c r="AF109" i="3"/>
  <c r="AH109" i="3" s="1"/>
  <c r="AZ233" i="3"/>
  <c r="BD233" i="3" s="1"/>
  <c r="BF233" i="3" s="1"/>
  <c r="BI233" i="3" s="1"/>
  <c r="Y175" i="3"/>
  <c r="AF110" i="3"/>
  <c r="AH110" i="3" s="1"/>
  <c r="BD110" i="3"/>
  <c r="BF110" i="3" s="1"/>
  <c r="BI110" i="3" s="1"/>
  <c r="Z76" i="3"/>
  <c r="AF156" i="3"/>
  <c r="AG156" i="3" s="1"/>
  <c r="Y231" i="3"/>
  <c r="AY64" i="3"/>
  <c r="AX64" i="3"/>
  <c r="AX187" i="3"/>
  <c r="AY187" i="3"/>
  <c r="AX95" i="3"/>
  <c r="AZ95" i="3"/>
  <c r="AY95" i="3"/>
  <c r="BB216" i="3"/>
  <c r="AF137" i="3"/>
  <c r="AH137" i="3" s="1"/>
  <c r="AF76" i="3"/>
  <c r="AH76" i="3" s="1"/>
  <c r="Y212" i="3"/>
  <c r="Z144" i="3"/>
  <c r="Z159" i="3"/>
  <c r="Z177" i="3"/>
  <c r="Z171" i="3"/>
  <c r="AF89" i="3"/>
  <c r="AH89" i="3" s="1"/>
  <c r="BD153" i="3"/>
  <c r="BF153" i="3" s="1"/>
  <c r="BI153" i="3" s="1"/>
  <c r="AF213" i="3"/>
  <c r="AH213" i="3" s="1"/>
  <c r="Y89" i="3"/>
  <c r="Z153" i="3"/>
  <c r="Y148" i="3"/>
  <c r="Z74" i="3"/>
  <c r="Y172" i="3"/>
  <c r="Y156" i="3"/>
  <c r="Y140" i="3"/>
  <c r="Z213" i="3"/>
  <c r="Y177" i="3"/>
  <c r="AF159" i="3"/>
  <c r="AG159" i="3" s="1"/>
  <c r="AD216" i="3"/>
  <c r="AC216" i="3"/>
  <c r="AF192" i="3"/>
  <c r="AH192" i="3" s="1"/>
  <c r="Z260" i="3"/>
  <c r="Z172" i="3"/>
  <c r="Z88" i="3"/>
  <c r="AH147" i="3"/>
  <c r="BD177" i="3"/>
  <c r="BE177" i="3" s="1"/>
  <c r="BH177" i="3" s="1"/>
  <c r="BD137" i="3"/>
  <c r="BE137" i="3" s="1"/>
  <c r="BH137" i="3" s="1"/>
  <c r="BD88" i="3"/>
  <c r="BE88" i="3" s="1"/>
  <c r="BH88" i="3" s="1"/>
  <c r="Z192" i="3"/>
  <c r="Z137" i="3"/>
  <c r="Y260" i="3"/>
  <c r="AF88" i="3"/>
  <c r="AH88" i="3" s="1"/>
  <c r="BD159" i="3"/>
  <c r="BE159" i="3" s="1"/>
  <c r="BH159" i="3" s="1"/>
  <c r="AF216" i="3"/>
  <c r="Z175" i="3"/>
  <c r="Z151" i="3"/>
  <c r="AF260" i="3"/>
  <c r="AH260" i="3" s="1"/>
  <c r="Z230" i="3"/>
  <c r="Y211" i="3"/>
  <c r="Y86" i="3"/>
  <c r="AF211" i="3"/>
  <c r="AG211" i="3" s="1"/>
  <c r="Y202" i="3"/>
  <c r="AF153" i="3"/>
  <c r="AH153" i="3" s="1"/>
  <c r="Z228" i="3"/>
  <c r="Y65" i="3"/>
  <c r="Z138" i="3"/>
  <c r="Y138" i="3"/>
  <c r="Y239" i="3"/>
  <c r="Y227" i="3"/>
  <c r="Y99" i="3"/>
  <c r="BD213" i="3"/>
  <c r="BF213" i="3" s="1"/>
  <c r="BI213" i="3" s="1"/>
  <c r="AF138" i="3"/>
  <c r="AF239" i="3"/>
  <c r="AG239" i="3" s="1"/>
  <c r="Y151" i="3"/>
  <c r="Z258" i="3"/>
  <c r="AF144" i="3"/>
  <c r="AH144" i="3" s="1"/>
  <c r="Z119" i="3"/>
  <c r="AF230" i="3"/>
  <c r="AH230" i="3" s="1"/>
  <c r="AF99" i="3"/>
  <c r="AG99" i="3" s="1"/>
  <c r="Z86" i="3"/>
  <c r="AF65" i="3"/>
  <c r="AG65" i="3" s="1"/>
  <c r="AF231" i="3"/>
  <c r="Z208" i="3"/>
  <c r="AF208" i="3"/>
  <c r="Y208" i="3"/>
  <c r="AF148" i="3"/>
  <c r="AH148" i="3" s="1"/>
  <c r="Y183" i="3"/>
  <c r="Y74" i="3"/>
  <c r="AF140" i="3"/>
  <c r="AH140" i="3" s="1"/>
  <c r="Z183" i="3"/>
  <c r="Y119" i="3"/>
  <c r="BD140" i="3"/>
  <c r="BE140" i="3" s="1"/>
  <c r="BH140" i="3" s="1"/>
  <c r="BD208" i="3"/>
  <c r="BE66" i="3"/>
  <c r="BH66" i="3" s="1"/>
  <c r="BF66" i="3"/>
  <c r="BI66" i="3" s="1"/>
  <c r="AX151" i="3"/>
  <c r="AY151" i="3"/>
  <c r="AZ151" i="3"/>
  <c r="BB83" i="3"/>
  <c r="BA83" i="3"/>
  <c r="AY259" i="3"/>
  <c r="AX259" i="3"/>
  <c r="AZ259" i="3"/>
  <c r="AX206" i="3"/>
  <c r="AZ206" i="3"/>
  <c r="AY206" i="3"/>
  <c r="Y197" i="3"/>
  <c r="BD197" i="3"/>
  <c r="Z197" i="3"/>
  <c r="AF197" i="3"/>
  <c r="AG161" i="3"/>
  <c r="AH161" i="3"/>
  <c r="AF102" i="3"/>
  <c r="Y102" i="3"/>
  <c r="Z102" i="3"/>
  <c r="AH116" i="3"/>
  <c r="AG116" i="3"/>
  <c r="BA193" i="3"/>
  <c r="BB193" i="3"/>
  <c r="BD193" i="3"/>
  <c r="BA115" i="3"/>
  <c r="BB115" i="3"/>
  <c r="BA155" i="3"/>
  <c r="BB155" i="3"/>
  <c r="BA161" i="3"/>
  <c r="BB161" i="3"/>
  <c r="BA124" i="3"/>
  <c r="BB124" i="3"/>
  <c r="AG75" i="3"/>
  <c r="AH75" i="3"/>
  <c r="AG166" i="3"/>
  <c r="AH166" i="3"/>
  <c r="BD115" i="3"/>
  <c r="Y242" i="3"/>
  <c r="AF242" i="3"/>
  <c r="Z242" i="3"/>
  <c r="BD242" i="3"/>
  <c r="AH79" i="3"/>
  <c r="AG79" i="3"/>
  <c r="AH171" i="3"/>
  <c r="AG171" i="3"/>
  <c r="AF68" i="3"/>
  <c r="Y68" i="3"/>
  <c r="Z68" i="3"/>
  <c r="AX180" i="3"/>
  <c r="AZ180" i="3"/>
  <c r="AY180" i="3"/>
  <c r="Y112" i="3"/>
  <c r="AF112" i="3"/>
  <c r="Z112" i="3"/>
  <c r="AG108" i="3"/>
  <c r="AH108" i="3"/>
  <c r="BA128" i="3"/>
  <c r="BB128" i="3"/>
  <c r="AF255" i="3"/>
  <c r="Z255" i="3"/>
  <c r="Y255" i="3"/>
  <c r="BB149" i="3"/>
  <c r="BA149" i="3"/>
  <c r="BD149" i="3"/>
  <c r="AG117" i="3"/>
  <c r="AH117" i="3"/>
  <c r="AY129" i="3"/>
  <c r="AX129" i="3"/>
  <c r="AZ129" i="3"/>
  <c r="Y225" i="3"/>
  <c r="AF225" i="3"/>
  <c r="Z225" i="3"/>
  <c r="AY75" i="3"/>
  <c r="AZ75" i="3"/>
  <c r="AX75" i="3"/>
  <c r="AG237" i="3"/>
  <c r="AH237" i="3"/>
  <c r="AF257" i="3"/>
  <c r="Z257" i="3"/>
  <c r="Y257" i="3"/>
  <c r="AH202" i="3"/>
  <c r="AG202" i="3"/>
  <c r="AG141" i="3"/>
  <c r="AH141" i="3"/>
  <c r="AX120" i="3"/>
  <c r="AZ120" i="3"/>
  <c r="AY120" i="3"/>
  <c r="AG162" i="3"/>
  <c r="AH162" i="3"/>
  <c r="BA192" i="3"/>
  <c r="BB192" i="3"/>
  <c r="BD192" i="3"/>
  <c r="AH184" i="3"/>
  <c r="AG184" i="3"/>
  <c r="AG151" i="3"/>
  <c r="AH151" i="3"/>
  <c r="AF96" i="3"/>
  <c r="Y96" i="3"/>
  <c r="Z96" i="3"/>
  <c r="AY164" i="3"/>
  <c r="AX164" i="3"/>
  <c r="AZ164" i="3"/>
  <c r="AH126" i="3"/>
  <c r="AG126" i="3"/>
  <c r="AH128" i="3"/>
  <c r="AG128" i="3"/>
  <c r="BD90" i="3"/>
  <c r="AF90" i="3"/>
  <c r="Y90" i="3"/>
  <c r="Z90" i="3"/>
  <c r="AZ106" i="3"/>
  <c r="AX106" i="3"/>
  <c r="AY106" i="3"/>
  <c r="Y221" i="3"/>
  <c r="AF221" i="3"/>
  <c r="Z221" i="3"/>
  <c r="AF105" i="3"/>
  <c r="Z105" i="3"/>
  <c r="Y105" i="3"/>
  <c r="AH87" i="3"/>
  <c r="AG87" i="3"/>
  <c r="AY226" i="3"/>
  <c r="AZ226" i="3"/>
  <c r="AX226" i="3"/>
  <c r="BA110" i="3"/>
  <c r="BB110" i="3"/>
  <c r="BA159" i="3"/>
  <c r="BB159" i="3"/>
  <c r="BB177" i="3"/>
  <c r="BA177" i="3"/>
  <c r="BA67" i="3"/>
  <c r="BB67" i="3"/>
  <c r="BA263" i="3"/>
  <c r="BB263" i="3"/>
  <c r="BD263" i="3"/>
  <c r="BB88" i="3"/>
  <c r="BA88" i="3"/>
  <c r="BB178" i="3"/>
  <c r="BA178" i="3"/>
  <c r="BA116" i="3"/>
  <c r="BB116" i="3"/>
  <c r="BA224" i="3"/>
  <c r="BB224" i="3"/>
  <c r="BD224" i="3"/>
  <c r="BA197" i="3"/>
  <c r="BB197" i="3"/>
  <c r="BA220" i="3"/>
  <c r="BB220" i="3"/>
  <c r="AH71" i="3"/>
  <c r="AG71" i="3"/>
  <c r="AH247" i="3"/>
  <c r="AG247" i="3"/>
  <c r="BB205" i="3"/>
  <c r="BA205" i="3"/>
  <c r="BB137" i="3"/>
  <c r="BA137" i="3"/>
  <c r="AY235" i="3"/>
  <c r="AX235" i="3"/>
  <c r="AZ235" i="3"/>
  <c r="AF97" i="3"/>
  <c r="Z97" i="3"/>
  <c r="Y97" i="3"/>
  <c r="Y195" i="3"/>
  <c r="Z195" i="3"/>
  <c r="AF195" i="3"/>
  <c r="AX225" i="3"/>
  <c r="AY225" i="3"/>
  <c r="AZ225" i="3"/>
  <c r="BD225" i="3" s="1"/>
  <c r="AH95" i="3"/>
  <c r="AG95" i="3"/>
  <c r="AH172" i="3"/>
  <c r="AG172" i="3"/>
  <c r="AZ203" i="3"/>
  <c r="AX203" i="3"/>
  <c r="AY203" i="3"/>
  <c r="Y157" i="3"/>
  <c r="AF157" i="3"/>
  <c r="Z157" i="3"/>
  <c r="AF185" i="3"/>
  <c r="Z185" i="3"/>
  <c r="Y185" i="3"/>
  <c r="BD161" i="3"/>
  <c r="AF176" i="3"/>
  <c r="Z176" i="3"/>
  <c r="Y176" i="3"/>
  <c r="AH177" i="3"/>
  <c r="AG177" i="3"/>
  <c r="BA249" i="3"/>
  <c r="BB249" i="3"/>
  <c r="BD249" i="3"/>
  <c r="BB123" i="3"/>
  <c r="BA123" i="3"/>
  <c r="BD123" i="3"/>
  <c r="AD218" i="3"/>
  <c r="AC218" i="3"/>
  <c r="AG143" i="3"/>
  <c r="AH143" i="3"/>
  <c r="BB64" i="3"/>
  <c r="BA64" i="3"/>
  <c r="BA108" i="3"/>
  <c r="BB108" i="3"/>
  <c r="BB98" i="3"/>
  <c r="BA98" i="3"/>
  <c r="BD98" i="3"/>
  <c r="AC115" i="3"/>
  <c r="AD115" i="3"/>
  <c r="BB84" i="3"/>
  <c r="BA84" i="3"/>
  <c r="BD205" i="3"/>
  <c r="BB166" i="3"/>
  <c r="BA166" i="3"/>
  <c r="AH94" i="3"/>
  <c r="AG94" i="3"/>
  <c r="AH178" i="3"/>
  <c r="AG178" i="3"/>
  <c r="BD166" i="3"/>
  <c r="BD155" i="3"/>
  <c r="AG78" i="3"/>
  <c r="AH78" i="3"/>
  <c r="BA251" i="3"/>
  <c r="BB251" i="3"/>
  <c r="BD251" i="3"/>
  <c r="BA190" i="3"/>
  <c r="BB190" i="3"/>
  <c r="AH233" i="3"/>
  <c r="AG233" i="3"/>
  <c r="BA162" i="3"/>
  <c r="BB162" i="3"/>
  <c r="AZ167" i="3"/>
  <c r="AX167" i="3"/>
  <c r="AY167" i="3"/>
  <c r="AX143" i="3"/>
  <c r="AY143" i="3"/>
  <c r="AZ143" i="3"/>
  <c r="AY258" i="3"/>
  <c r="AZ258" i="3"/>
  <c r="AX258" i="3"/>
  <c r="BD220" i="3"/>
  <c r="AF139" i="3"/>
  <c r="Z139" i="3"/>
  <c r="Y139" i="3"/>
  <c r="BD83" i="3"/>
  <c r="AH210" i="3"/>
  <c r="AG210" i="3"/>
  <c r="AY74" i="3"/>
  <c r="AX74" i="3"/>
  <c r="AZ74" i="3"/>
  <c r="BB207" i="3"/>
  <c r="BA207" i="3"/>
  <c r="BD207" i="3"/>
  <c r="BB170" i="3"/>
  <c r="BA170" i="3"/>
  <c r="BB213" i="3"/>
  <c r="BA213" i="3"/>
  <c r="BA223" i="3"/>
  <c r="BB223" i="3"/>
  <c r="BB66" i="3"/>
  <c r="BA66" i="3"/>
  <c r="BA154" i="3"/>
  <c r="BB154" i="3"/>
  <c r="AY131" i="3"/>
  <c r="AX131" i="3"/>
  <c r="AZ131" i="3"/>
  <c r="AG227" i="3"/>
  <c r="AH227" i="3"/>
  <c r="AG245" i="3"/>
  <c r="AH245" i="3"/>
  <c r="AX109" i="3"/>
  <c r="AY109" i="3"/>
  <c r="AZ109" i="3"/>
  <c r="AY237" i="3"/>
  <c r="AX237" i="3"/>
  <c r="AZ237" i="3"/>
  <c r="AX147" i="3"/>
  <c r="AY147" i="3"/>
  <c r="AZ147" i="3"/>
  <c r="AZ69" i="3"/>
  <c r="AY69" i="3"/>
  <c r="AX69" i="3"/>
  <c r="AH261" i="3"/>
  <c r="AY156" i="3"/>
  <c r="AZ156" i="3"/>
  <c r="AX156" i="3"/>
  <c r="AZ254" i="3"/>
  <c r="AX254" i="3"/>
  <c r="AY254" i="3"/>
  <c r="BB153" i="3"/>
  <c r="BA153" i="3"/>
  <c r="BA79" i="3"/>
  <c r="BB79" i="3"/>
  <c r="BB90" i="3"/>
  <c r="BA90" i="3"/>
  <c r="BA238" i="3"/>
  <c r="BB238" i="3"/>
  <c r="BD238" i="3"/>
  <c r="AH170" i="3"/>
  <c r="AG170" i="3"/>
  <c r="AD64" i="3"/>
  <c r="AC64" i="3"/>
  <c r="BA246" i="3"/>
  <c r="BB246" i="3"/>
  <c r="BA242" i="3"/>
  <c r="BB242" i="3"/>
  <c r="BD154" i="3"/>
  <c r="BB245" i="3"/>
  <c r="BA245" i="3"/>
  <c r="BA132" i="3"/>
  <c r="BB132" i="3"/>
  <c r="BB81" i="3"/>
  <c r="BA81" i="3"/>
  <c r="AF64" i="3"/>
  <c r="BA140" i="3"/>
  <c r="BB140" i="3"/>
  <c r="BA138" i="3"/>
  <c r="BB138" i="3"/>
  <c r="BD138" i="3"/>
  <c r="BD97" i="3" l="1"/>
  <c r="BF97" i="3" s="1"/>
  <c r="BI97" i="3" s="1"/>
  <c r="BA97" i="3"/>
  <c r="BD176" i="3"/>
  <c r="BE176" i="3" s="1"/>
  <c r="BH176" i="3" s="1"/>
  <c r="BA176" i="3"/>
  <c r="AG66" i="3"/>
  <c r="BD214" i="3"/>
  <c r="BE214" i="3" s="1"/>
  <c r="BH214" i="3" s="1"/>
  <c r="BB214" i="3"/>
  <c r="AH263" i="3"/>
  <c r="AG74" i="3"/>
  <c r="BA232" i="3"/>
  <c r="BD99" i="3"/>
  <c r="BF99" i="3" s="1"/>
  <c r="BI99" i="3" s="1"/>
  <c r="BA99" i="3"/>
  <c r="BE162" i="3"/>
  <c r="BH162" i="3" s="1"/>
  <c r="AH256" i="3"/>
  <c r="BD232" i="3"/>
  <c r="BF232" i="3" s="1"/>
  <c r="BI232" i="3" s="1"/>
  <c r="AH232" i="3"/>
  <c r="AG179" i="3"/>
  <c r="AH122" i="3"/>
  <c r="AG182" i="3"/>
  <c r="BD200" i="3"/>
  <c r="BE200" i="3" s="1"/>
  <c r="BH200" i="3" s="1"/>
  <c r="BE191" i="3"/>
  <c r="BH191" i="3" s="1"/>
  <c r="AH248" i="3"/>
  <c r="BD201" i="3"/>
  <c r="BE201" i="3" s="1"/>
  <c r="BH201" i="3" s="1"/>
  <c r="AH164" i="3"/>
  <c r="AG262" i="3"/>
  <c r="BF135" i="3"/>
  <c r="BI135" i="3" s="1"/>
  <c r="BD136" i="3"/>
  <c r="BF136" i="3" s="1"/>
  <c r="BI136" i="3" s="1"/>
  <c r="AG191" i="3"/>
  <c r="AH241" i="3"/>
  <c r="BA73" i="3"/>
  <c r="BB73" i="3"/>
  <c r="BD65" i="3"/>
  <c r="BF65" i="3" s="1"/>
  <c r="BI65" i="3" s="1"/>
  <c r="BB65" i="3"/>
  <c r="AG77" i="3"/>
  <c r="AC246" i="3"/>
  <c r="AG73" i="3"/>
  <c r="BB247" i="3"/>
  <c r="AH168" i="3"/>
  <c r="BE158" i="3"/>
  <c r="BH158" i="3" s="1"/>
  <c r="BB82" i="3"/>
  <c r="BA135" i="3"/>
  <c r="BB158" i="3"/>
  <c r="AH135" i="3"/>
  <c r="BB191" i="3"/>
  <c r="AG130" i="3"/>
  <c r="BA158" i="3"/>
  <c r="BA191" i="3"/>
  <c r="BE73" i="3"/>
  <c r="BH73" i="3" s="1"/>
  <c r="BD82" i="3"/>
  <c r="BF82" i="3" s="1"/>
  <c r="BI82" i="3" s="1"/>
  <c r="AG204" i="3"/>
  <c r="BD195" i="3"/>
  <c r="BE195" i="3" s="1"/>
  <c r="BH195" i="3" s="1"/>
  <c r="AG136" i="3"/>
  <c r="BF247" i="3"/>
  <c r="BI247" i="3" s="1"/>
  <c r="BB136" i="3"/>
  <c r="BA195" i="3"/>
  <c r="BB135" i="3"/>
  <c r="BE79" i="3"/>
  <c r="BH79" i="3" s="1"/>
  <c r="BA247" i="3"/>
  <c r="AG174" i="3"/>
  <c r="BB148" i="3"/>
  <c r="BA148" i="3"/>
  <c r="BE130" i="3"/>
  <c r="BH130" i="3" s="1"/>
  <c r="BF67" i="3"/>
  <c r="BI67" i="3" s="1"/>
  <c r="BA130" i="3"/>
  <c r="AG106" i="3"/>
  <c r="AH226" i="3"/>
  <c r="BD100" i="3"/>
  <c r="BE100" i="3" s="1"/>
  <c r="BH100" i="3" s="1"/>
  <c r="BB255" i="3"/>
  <c r="BF132" i="3"/>
  <c r="BI132" i="3" s="1"/>
  <c r="BB71" i="3"/>
  <c r="BA152" i="3"/>
  <c r="BB200" i="3"/>
  <c r="BB160" i="3"/>
  <c r="AG175" i="3"/>
  <c r="AG120" i="3"/>
  <c r="BF190" i="3"/>
  <c r="BI190" i="3" s="1"/>
  <c r="AH235" i="3"/>
  <c r="BD152" i="3"/>
  <c r="BE152" i="3" s="1"/>
  <c r="BH152" i="3" s="1"/>
  <c r="AG83" i="3"/>
  <c r="AG193" i="3"/>
  <c r="BF85" i="3"/>
  <c r="BI85" i="3" s="1"/>
  <c r="BA160" i="3"/>
  <c r="AD246" i="3"/>
  <c r="BD222" i="3"/>
  <c r="BF222" i="3" s="1"/>
  <c r="BI222" i="3" s="1"/>
  <c r="AG206" i="3"/>
  <c r="BA71" i="3"/>
  <c r="BE71" i="3"/>
  <c r="BH71" i="3" s="1"/>
  <c r="BF81" i="3"/>
  <c r="BI81" i="3" s="1"/>
  <c r="BA217" i="3"/>
  <c r="BA85" i="3"/>
  <c r="AG127" i="3"/>
  <c r="AH229" i="3"/>
  <c r="AG132" i="3"/>
  <c r="BB105" i="3"/>
  <c r="BB85" i="3"/>
  <c r="AH72" i="3"/>
  <c r="BA125" i="3"/>
  <c r="BA250" i="3"/>
  <c r="BD119" i="3"/>
  <c r="BE119" i="3" s="1"/>
  <c r="BH119" i="3" s="1"/>
  <c r="AG253" i="3"/>
  <c r="BB103" i="3"/>
  <c r="BE250" i="3"/>
  <c r="BH250" i="3" s="1"/>
  <c r="BD157" i="3"/>
  <c r="BE157" i="3" s="1"/>
  <c r="BH157" i="3" s="1"/>
  <c r="BB119" i="3"/>
  <c r="BA133" i="3"/>
  <c r="BB130" i="3"/>
  <c r="AH152" i="3"/>
  <c r="BD103" i="3"/>
  <c r="BF103" i="3" s="1"/>
  <c r="BI103" i="3" s="1"/>
  <c r="BB157" i="3"/>
  <c r="AG81" i="3"/>
  <c r="BF125" i="3"/>
  <c r="BI125" i="3" s="1"/>
  <c r="BE170" i="3"/>
  <c r="BH170" i="3" s="1"/>
  <c r="BB125" i="3"/>
  <c r="AG244" i="3"/>
  <c r="BB133" i="3"/>
  <c r="BE245" i="3"/>
  <c r="BH245" i="3" s="1"/>
  <c r="AH69" i="3"/>
  <c r="BB201" i="3"/>
  <c r="BB222" i="3"/>
  <c r="BB188" i="3"/>
  <c r="AG67" i="3"/>
  <c r="AH160" i="3"/>
  <c r="AG125" i="3"/>
  <c r="AG218" i="3"/>
  <c r="BD228" i="3"/>
  <c r="BF228" i="3" s="1"/>
  <c r="BI228" i="3" s="1"/>
  <c r="AH118" i="3"/>
  <c r="AH100" i="3"/>
  <c r="BD104" i="3"/>
  <c r="BE104" i="3" s="1"/>
  <c r="BH104" i="3" s="1"/>
  <c r="BA105" i="3"/>
  <c r="BB186" i="3"/>
  <c r="AH194" i="3"/>
  <c r="AG119" i="3"/>
  <c r="AG258" i="3"/>
  <c r="AH169" i="3"/>
  <c r="AH93" i="3"/>
  <c r="AH133" i="3"/>
  <c r="BD92" i="3"/>
  <c r="BE92" i="3" s="1"/>
  <c r="BH92" i="3" s="1"/>
  <c r="BD229" i="3"/>
  <c r="BE229" i="3" s="1"/>
  <c r="BH229" i="3" s="1"/>
  <c r="AH264" i="3"/>
  <c r="BE124" i="3"/>
  <c r="BH124" i="3" s="1"/>
  <c r="BB101" i="3"/>
  <c r="BE264" i="3"/>
  <c r="BH264" i="3" s="1"/>
  <c r="BB217" i="3"/>
  <c r="BA68" i="3"/>
  <c r="AH220" i="3"/>
  <c r="BB100" i="3"/>
  <c r="BD255" i="3"/>
  <c r="BE255" i="3" s="1"/>
  <c r="BH255" i="3" s="1"/>
  <c r="AH234" i="3"/>
  <c r="AG243" i="3"/>
  <c r="AG149" i="3"/>
  <c r="BA80" i="3"/>
  <c r="BA86" i="3"/>
  <c r="AH131" i="3"/>
  <c r="AG240" i="3"/>
  <c r="BD240" i="3"/>
  <c r="BE240" i="3" s="1"/>
  <c r="BH240" i="3" s="1"/>
  <c r="BA228" i="3"/>
  <c r="AG254" i="3"/>
  <c r="AG98" i="3"/>
  <c r="BA104" i="3"/>
  <c r="BA169" i="3"/>
  <c r="BA229" i="3"/>
  <c r="AG173" i="3"/>
  <c r="BA257" i="3"/>
  <c r="BA139" i="3"/>
  <c r="AG124" i="3"/>
  <c r="BB240" i="3"/>
  <c r="AH115" i="3"/>
  <c r="BB264" i="3"/>
  <c r="AH165" i="3"/>
  <c r="AH252" i="3"/>
  <c r="BD139" i="3"/>
  <c r="BE139" i="3" s="1"/>
  <c r="BH139" i="3" s="1"/>
  <c r="BA264" i="3"/>
  <c r="AG215" i="3"/>
  <c r="AG251" i="3"/>
  <c r="AG250" i="3"/>
  <c r="AG209" i="3"/>
  <c r="BB250" i="3"/>
  <c r="AG80" i="3"/>
  <c r="AH190" i="3"/>
  <c r="AG158" i="3"/>
  <c r="AG146" i="3"/>
  <c r="AH104" i="3"/>
  <c r="BF84" i="3"/>
  <c r="BI84" i="3" s="1"/>
  <c r="BB215" i="3"/>
  <c r="AH167" i="3"/>
  <c r="BA219" i="3"/>
  <c r="AG85" i="3"/>
  <c r="AH123" i="3"/>
  <c r="BA239" i="3"/>
  <c r="BE188" i="3"/>
  <c r="BH188" i="3" s="1"/>
  <c r="AH224" i="3"/>
  <c r="AH187" i="3"/>
  <c r="BB68" i="3"/>
  <c r="AH196" i="3"/>
  <c r="BE116" i="3"/>
  <c r="BH116" i="3" s="1"/>
  <c r="AH134" i="3"/>
  <c r="AH70" i="3"/>
  <c r="BA231" i="3"/>
  <c r="BD101" i="3"/>
  <c r="BE101" i="3" s="1"/>
  <c r="BH101" i="3" s="1"/>
  <c r="AH114" i="3"/>
  <c r="AG205" i="3"/>
  <c r="AH92" i="3"/>
  <c r="AH101" i="3"/>
  <c r="AG222" i="3"/>
  <c r="BA186" i="3"/>
  <c r="BA188" i="3"/>
  <c r="BD257" i="3"/>
  <c r="BF257" i="3" s="1"/>
  <c r="BI257" i="3" s="1"/>
  <c r="BA145" i="3"/>
  <c r="AH188" i="3"/>
  <c r="BB86" i="3"/>
  <c r="AG198" i="3"/>
  <c r="BD80" i="3"/>
  <c r="BF80" i="3" s="1"/>
  <c r="BI80" i="3" s="1"/>
  <c r="BB169" i="3"/>
  <c r="AH142" i="3"/>
  <c r="BD215" i="3"/>
  <c r="BE215" i="3" s="1"/>
  <c r="BH215" i="3" s="1"/>
  <c r="BA92" i="3"/>
  <c r="BF169" i="3"/>
  <c r="BI169" i="3" s="1"/>
  <c r="BD187" i="3"/>
  <c r="BE187" i="3" s="1"/>
  <c r="BH187" i="3" s="1"/>
  <c r="AG150" i="3"/>
  <c r="BB187" i="3"/>
  <c r="AG181" i="3"/>
  <c r="AG180" i="3"/>
  <c r="BD219" i="3"/>
  <c r="BF219" i="3" s="1"/>
  <c r="BI219" i="3" s="1"/>
  <c r="BF134" i="3"/>
  <c r="BI134" i="3" s="1"/>
  <c r="AG121" i="3"/>
  <c r="AH183" i="3"/>
  <c r="BA96" i="3"/>
  <c r="AG199" i="3"/>
  <c r="AH84" i="3"/>
  <c r="BD145" i="3"/>
  <c r="BF145" i="3" s="1"/>
  <c r="BI145" i="3" s="1"/>
  <c r="BD96" i="3"/>
  <c r="BE96" i="3" s="1"/>
  <c r="BH96" i="3" s="1"/>
  <c r="AH86" i="3"/>
  <c r="AG113" i="3"/>
  <c r="BF108" i="3"/>
  <c r="BI108" i="3" s="1"/>
  <c r="BE199" i="3"/>
  <c r="BH199" i="3" s="1"/>
  <c r="BB199" i="3"/>
  <c r="BA199" i="3"/>
  <c r="BD231" i="3"/>
  <c r="BE231" i="3" s="1"/>
  <c r="BH231" i="3" s="1"/>
  <c r="BB134" i="3"/>
  <c r="BB252" i="3"/>
  <c r="BF252" i="3"/>
  <c r="BI252" i="3" s="1"/>
  <c r="BA252" i="3"/>
  <c r="BA134" i="3"/>
  <c r="BA87" i="3"/>
  <c r="BA241" i="3"/>
  <c r="BF241" i="3"/>
  <c r="BI241" i="3" s="1"/>
  <c r="BB241" i="3"/>
  <c r="BD87" i="3"/>
  <c r="BE87" i="3" s="1"/>
  <c r="BH87" i="3" s="1"/>
  <c r="AG207" i="3"/>
  <c r="BE118" i="3"/>
  <c r="BH118" i="3" s="1"/>
  <c r="BD77" i="3"/>
  <c r="BF77" i="3" s="1"/>
  <c r="BI77" i="3" s="1"/>
  <c r="BB77" i="3"/>
  <c r="BB118" i="3"/>
  <c r="BA118" i="3"/>
  <c r="BD181" i="3"/>
  <c r="BE181" i="3" s="1"/>
  <c r="BH181" i="3" s="1"/>
  <c r="BE150" i="3"/>
  <c r="BH150" i="3" s="1"/>
  <c r="BB150" i="3"/>
  <c r="BF168" i="3"/>
  <c r="BI168" i="3" s="1"/>
  <c r="BB94" i="3"/>
  <c r="BB181" i="3"/>
  <c r="BA168" i="3"/>
  <c r="BD94" i="3"/>
  <c r="BE94" i="3" s="1"/>
  <c r="BH94" i="3" s="1"/>
  <c r="BB168" i="3"/>
  <c r="BD76" i="3"/>
  <c r="BF76" i="3" s="1"/>
  <c r="BI76" i="3" s="1"/>
  <c r="BA150" i="3"/>
  <c r="BA174" i="3"/>
  <c r="BB76" i="3"/>
  <c r="BD113" i="3"/>
  <c r="BE113" i="3" s="1"/>
  <c r="BH113" i="3" s="1"/>
  <c r="BE209" i="3"/>
  <c r="BH209" i="3" s="1"/>
  <c r="BF196" i="3"/>
  <c r="BI196" i="3" s="1"/>
  <c r="BF142" i="3"/>
  <c r="BI142" i="3" s="1"/>
  <c r="BE173" i="3"/>
  <c r="BH173" i="3" s="1"/>
  <c r="BB173" i="3"/>
  <c r="BA117" i="3"/>
  <c r="BE117" i="3"/>
  <c r="BH117" i="3" s="1"/>
  <c r="BD244" i="3"/>
  <c r="BE244" i="3" s="1"/>
  <c r="BH244" i="3" s="1"/>
  <c r="BA89" i="3"/>
  <c r="BB163" i="3"/>
  <c r="BB204" i="3"/>
  <c r="BD89" i="3"/>
  <c r="BE89" i="3" s="1"/>
  <c r="BH89" i="3" s="1"/>
  <c r="AG129" i="3"/>
  <c r="BB196" i="3"/>
  <c r="BB209" i="3"/>
  <c r="BB142" i="3"/>
  <c r="BA196" i="3"/>
  <c r="BA113" i="3"/>
  <c r="BB174" i="3"/>
  <c r="BA209" i="3"/>
  <c r="BD204" i="3"/>
  <c r="BF204" i="3" s="1"/>
  <c r="BI204" i="3" s="1"/>
  <c r="BB117" i="3"/>
  <c r="BB244" i="3"/>
  <c r="BA173" i="3"/>
  <c r="BA175" i="3"/>
  <c r="BD239" i="3"/>
  <c r="BE239" i="3" s="1"/>
  <c r="BH239" i="3" s="1"/>
  <c r="BA171" i="3"/>
  <c r="BD211" i="3"/>
  <c r="BF211" i="3" s="1"/>
  <c r="BI211" i="3" s="1"/>
  <c r="BA163" i="3"/>
  <c r="BA142" i="3"/>
  <c r="AH219" i="3"/>
  <c r="BA261" i="3"/>
  <c r="BD185" i="3"/>
  <c r="BE185" i="3" s="1"/>
  <c r="BH185" i="3" s="1"/>
  <c r="BD221" i="3"/>
  <c r="BE221" i="3" s="1"/>
  <c r="BH221" i="3" s="1"/>
  <c r="BA256" i="3"/>
  <c r="BB211" i="3"/>
  <c r="BB175" i="3"/>
  <c r="BB221" i="3"/>
  <c r="BD72" i="3"/>
  <c r="BE72" i="3" s="1"/>
  <c r="BH72" i="3" s="1"/>
  <c r="BA72" i="3"/>
  <c r="BE261" i="3"/>
  <c r="BH261" i="3" s="1"/>
  <c r="BA243" i="3"/>
  <c r="BD93" i="3"/>
  <c r="BF93" i="3" s="1"/>
  <c r="BI93" i="3" s="1"/>
  <c r="BA93" i="3"/>
  <c r="BD256" i="3"/>
  <c r="BE256" i="3" s="1"/>
  <c r="BH256" i="3" s="1"/>
  <c r="BB261" i="3"/>
  <c r="BD243" i="3"/>
  <c r="BE243" i="3" s="1"/>
  <c r="BH243" i="3" s="1"/>
  <c r="BB185" i="3"/>
  <c r="BB107" i="3"/>
  <c r="BD112" i="3"/>
  <c r="BF112" i="3" s="1"/>
  <c r="BI112" i="3" s="1"/>
  <c r="BE141" i="3"/>
  <c r="BH141" i="3" s="1"/>
  <c r="BA112" i="3"/>
  <c r="BB141" i="3"/>
  <c r="BD172" i="3"/>
  <c r="BF172" i="3" s="1"/>
  <c r="BI172" i="3" s="1"/>
  <c r="BD107" i="3"/>
  <c r="BE107" i="3" s="1"/>
  <c r="BH107" i="3" s="1"/>
  <c r="BF165" i="3"/>
  <c r="BI165" i="3" s="1"/>
  <c r="BA141" i="3"/>
  <c r="BB91" i="3"/>
  <c r="BB165" i="3"/>
  <c r="BD260" i="3"/>
  <c r="BF260" i="3" s="1"/>
  <c r="BI260" i="3" s="1"/>
  <c r="BA260" i="3"/>
  <c r="BA91" i="3"/>
  <c r="BA165" i="3"/>
  <c r="BB171" i="3"/>
  <c r="BD227" i="3"/>
  <c r="BE227" i="3" s="1"/>
  <c r="BH227" i="3" s="1"/>
  <c r="BB182" i="3"/>
  <c r="BD182" i="3"/>
  <c r="BE182" i="3" s="1"/>
  <c r="BH182" i="3" s="1"/>
  <c r="AH249" i="3"/>
  <c r="BD144" i="3"/>
  <c r="BF144" i="3" s="1"/>
  <c r="BI144" i="3" s="1"/>
  <c r="BD218" i="3"/>
  <c r="BF218" i="3" s="1"/>
  <c r="BI218" i="3" s="1"/>
  <c r="BA218" i="3"/>
  <c r="BB122" i="3"/>
  <c r="BA179" i="3"/>
  <c r="BA198" i="3"/>
  <c r="BA122" i="3"/>
  <c r="BB198" i="3"/>
  <c r="BB179" i="3"/>
  <c r="BA189" i="3"/>
  <c r="BD189" i="3"/>
  <c r="BE189" i="3" s="1"/>
  <c r="BH189" i="3" s="1"/>
  <c r="BB202" i="3"/>
  <c r="BA172" i="3"/>
  <c r="BB114" i="3"/>
  <c r="BD114" i="3"/>
  <c r="BE114" i="3" s="1"/>
  <c r="BH114" i="3" s="1"/>
  <c r="BA102" i="3"/>
  <c r="BB102" i="3"/>
  <c r="BA227" i="3"/>
  <c r="BA262" i="3"/>
  <c r="BD202" i="3"/>
  <c r="BF202" i="3" s="1"/>
  <c r="BI202" i="3" s="1"/>
  <c r="BB262" i="3"/>
  <c r="BA236" i="3"/>
  <c r="BD183" i="3"/>
  <c r="BE183" i="3" s="1"/>
  <c r="BH183" i="3" s="1"/>
  <c r="BD236" i="3"/>
  <c r="BF236" i="3" s="1"/>
  <c r="BI236" i="3" s="1"/>
  <c r="BA126" i="3"/>
  <c r="AH189" i="3"/>
  <c r="BA144" i="3"/>
  <c r="BE178" i="3"/>
  <c r="BH178" i="3" s="1"/>
  <c r="BE126" i="3"/>
  <c r="BH126" i="3" s="1"/>
  <c r="BB126" i="3"/>
  <c r="BB248" i="3"/>
  <c r="BB212" i="3"/>
  <c r="BD230" i="3"/>
  <c r="BE230" i="3" s="1"/>
  <c r="BH230" i="3" s="1"/>
  <c r="BA111" i="3"/>
  <c r="BB111" i="3"/>
  <c r="BA230" i="3"/>
  <c r="BF248" i="3"/>
  <c r="BI248" i="3" s="1"/>
  <c r="BA248" i="3"/>
  <c r="BD234" i="3"/>
  <c r="BF234" i="3" s="1"/>
  <c r="BI234" i="3" s="1"/>
  <c r="BA234" i="3"/>
  <c r="AG145" i="3"/>
  <c r="BF127" i="3"/>
  <c r="BI127" i="3" s="1"/>
  <c r="BB194" i="3"/>
  <c r="BB146" i="3"/>
  <c r="BE146" i="3"/>
  <c r="BH146" i="3" s="1"/>
  <c r="BA78" i="3"/>
  <c r="BA146" i="3"/>
  <c r="BE194" i="3"/>
  <c r="BH194" i="3" s="1"/>
  <c r="BF121" i="3"/>
  <c r="BI121" i="3" s="1"/>
  <c r="BD78" i="3"/>
  <c r="BE78" i="3" s="1"/>
  <c r="BH78" i="3" s="1"/>
  <c r="BB121" i="3"/>
  <c r="BA194" i="3"/>
  <c r="BA121" i="3"/>
  <c r="BA127" i="3"/>
  <c r="AH200" i="3"/>
  <c r="BB127" i="3"/>
  <c r="BD212" i="3"/>
  <c r="BF212" i="3" s="1"/>
  <c r="BI212" i="3" s="1"/>
  <c r="BB183" i="3"/>
  <c r="BF70" i="3"/>
  <c r="BI70" i="3" s="1"/>
  <c r="BA70" i="3"/>
  <c r="AH201" i="3"/>
  <c r="BB70" i="3"/>
  <c r="BA253" i="3"/>
  <c r="BB253" i="3"/>
  <c r="BF91" i="3"/>
  <c r="BI91" i="3" s="1"/>
  <c r="AG228" i="3"/>
  <c r="BF253" i="3"/>
  <c r="BI253" i="3" s="1"/>
  <c r="BF64" i="3"/>
  <c r="BI64" i="3" s="1"/>
  <c r="BF184" i="3"/>
  <c r="BI184" i="3" s="1"/>
  <c r="BF216" i="3"/>
  <c r="BI216" i="3" s="1"/>
  <c r="BF177" i="3"/>
  <c r="BI177" i="3" s="1"/>
  <c r="AG111" i="3"/>
  <c r="AG223" i="3"/>
  <c r="BE246" i="3"/>
  <c r="BH246" i="3" s="1"/>
  <c r="AG154" i="3"/>
  <c r="AG236" i="3"/>
  <c r="BE128" i="3"/>
  <c r="BH128" i="3" s="1"/>
  <c r="BE223" i="3"/>
  <c r="BH223" i="3" s="1"/>
  <c r="AH217" i="3"/>
  <c r="AG246" i="3"/>
  <c r="AG91" i="3"/>
  <c r="AG107" i="3"/>
  <c r="BE111" i="3"/>
  <c r="BH111" i="3" s="1"/>
  <c r="BB210" i="3"/>
  <c r="AG89" i="3"/>
  <c r="AG260" i="3"/>
  <c r="AG186" i="3"/>
  <c r="AG163" i="3"/>
  <c r="AH259" i="3"/>
  <c r="AG140" i="3"/>
  <c r="AH239" i="3"/>
  <c r="AG203" i="3"/>
  <c r="AH82" i="3"/>
  <c r="BF214" i="3"/>
  <c r="BI214" i="3" s="1"/>
  <c r="AG214" i="3"/>
  <c r="AH211" i="3"/>
  <c r="BA233" i="3"/>
  <c r="AH155" i="3"/>
  <c r="AG76" i="3"/>
  <c r="AG110" i="3"/>
  <c r="AH159" i="3"/>
  <c r="AG109" i="3"/>
  <c r="BF163" i="3"/>
  <c r="BI163" i="3" s="1"/>
  <c r="AH212" i="3"/>
  <c r="BB233" i="3"/>
  <c r="BE110" i="3"/>
  <c r="BH110" i="3" s="1"/>
  <c r="AG213" i="3"/>
  <c r="BE233" i="3"/>
  <c r="BH233" i="3" s="1"/>
  <c r="AG238" i="3"/>
  <c r="AH156" i="3"/>
  <c r="BE153" i="3"/>
  <c r="BH153" i="3" s="1"/>
  <c r="BA95" i="3"/>
  <c r="BB95" i="3"/>
  <c r="BD95" i="3"/>
  <c r="BF171" i="3"/>
  <c r="BI171" i="3" s="1"/>
  <c r="BE175" i="3"/>
  <c r="BH175" i="3" s="1"/>
  <c r="AG137" i="3"/>
  <c r="BD210" i="3"/>
  <c r="BF210" i="3" s="1"/>
  <c r="BI210" i="3" s="1"/>
  <c r="AG192" i="3"/>
  <c r="BF159" i="3"/>
  <c r="BI159" i="3" s="1"/>
  <c r="AG153" i="3"/>
  <c r="BF148" i="3"/>
  <c r="BI148" i="3" s="1"/>
  <c r="AG88" i="3"/>
  <c r="BF137" i="3"/>
  <c r="BI137" i="3" s="1"/>
  <c r="BF88" i="3"/>
  <c r="BI88" i="3" s="1"/>
  <c r="AH216" i="3"/>
  <c r="AG216" i="3"/>
  <c r="AH99" i="3"/>
  <c r="BE213" i="3"/>
  <c r="BH213" i="3" s="1"/>
  <c r="AH65" i="3"/>
  <c r="AG144" i="3"/>
  <c r="AG148" i="3"/>
  <c r="AG230" i="3"/>
  <c r="AH138" i="3"/>
  <c r="AG138" i="3"/>
  <c r="BF140" i="3"/>
  <c r="BI140" i="3" s="1"/>
  <c r="AG231" i="3"/>
  <c r="AH231" i="3"/>
  <c r="BF208" i="3"/>
  <c r="BI208" i="3" s="1"/>
  <c r="BE208" i="3"/>
  <c r="BH208" i="3" s="1"/>
  <c r="AH208" i="3"/>
  <c r="AG208" i="3"/>
  <c r="BF262" i="3"/>
  <c r="BI262" i="3" s="1"/>
  <c r="BE262" i="3"/>
  <c r="BH262" i="3" s="1"/>
  <c r="BB143" i="3"/>
  <c r="BA143" i="3"/>
  <c r="BD143" i="3"/>
  <c r="BE86" i="3"/>
  <c r="BH86" i="3" s="1"/>
  <c r="BF86" i="3"/>
  <c r="BI86" i="3" s="1"/>
  <c r="AG255" i="3"/>
  <c r="AH255" i="3"/>
  <c r="BB237" i="3"/>
  <c r="BA237" i="3"/>
  <c r="BD237" i="3"/>
  <c r="BB131" i="3"/>
  <c r="BA131" i="3"/>
  <c r="BD131" i="3"/>
  <c r="AG139" i="3"/>
  <c r="AH139" i="3"/>
  <c r="BE138" i="3"/>
  <c r="BH138" i="3" s="1"/>
  <c r="BF138" i="3"/>
  <c r="BI138" i="3" s="1"/>
  <c r="BF238" i="3"/>
  <c r="BI238" i="3" s="1"/>
  <c r="BE238" i="3"/>
  <c r="BH238" i="3" s="1"/>
  <c r="BA156" i="3"/>
  <c r="BB156" i="3"/>
  <c r="BD156" i="3"/>
  <c r="BF174" i="3"/>
  <c r="BI174" i="3" s="1"/>
  <c r="BE174" i="3"/>
  <c r="BH174" i="3" s="1"/>
  <c r="BB147" i="3"/>
  <c r="BA147" i="3"/>
  <c r="BD147" i="3"/>
  <c r="BF186" i="3"/>
  <c r="BI186" i="3" s="1"/>
  <c r="BE186" i="3"/>
  <c r="BH186" i="3" s="1"/>
  <c r="BB74" i="3"/>
  <c r="BA74" i="3"/>
  <c r="BD74" i="3"/>
  <c r="BA167" i="3"/>
  <c r="BB167" i="3"/>
  <c r="BD167" i="3"/>
  <c r="BF122" i="3"/>
  <c r="BI122" i="3" s="1"/>
  <c r="BE122" i="3"/>
  <c r="BH122" i="3" s="1"/>
  <c r="BE205" i="3"/>
  <c r="BH205" i="3" s="1"/>
  <c r="BF205" i="3"/>
  <c r="BI205" i="3" s="1"/>
  <c r="BE98" i="3"/>
  <c r="BH98" i="3" s="1"/>
  <c r="BF98" i="3"/>
  <c r="BI98" i="3" s="1"/>
  <c r="BE249" i="3"/>
  <c r="BH249" i="3" s="1"/>
  <c r="BF249" i="3"/>
  <c r="BI249" i="3" s="1"/>
  <c r="BA225" i="3"/>
  <c r="BB225" i="3"/>
  <c r="BB235" i="3"/>
  <c r="BA235" i="3"/>
  <c r="BD235" i="3"/>
  <c r="AH105" i="3"/>
  <c r="AG105" i="3"/>
  <c r="AH90" i="3"/>
  <c r="AG90" i="3"/>
  <c r="BB164" i="3"/>
  <c r="BA164" i="3"/>
  <c r="BD164" i="3"/>
  <c r="BA120" i="3"/>
  <c r="BB120" i="3"/>
  <c r="BD120" i="3"/>
  <c r="AG68" i="3"/>
  <c r="AH68" i="3"/>
  <c r="AH242" i="3"/>
  <c r="AG242" i="3"/>
  <c r="BE115" i="3"/>
  <c r="BH115" i="3" s="1"/>
  <c r="BF115" i="3"/>
  <c r="BI115" i="3" s="1"/>
  <c r="BE102" i="3"/>
  <c r="BH102" i="3" s="1"/>
  <c r="BF102" i="3"/>
  <c r="BI102" i="3" s="1"/>
  <c r="BB206" i="3"/>
  <c r="BA206" i="3"/>
  <c r="BD206" i="3"/>
  <c r="BE179" i="3"/>
  <c r="BH179" i="3" s="1"/>
  <c r="BF179" i="3"/>
  <c r="BI179" i="3" s="1"/>
  <c r="BE251" i="3"/>
  <c r="BH251" i="3" s="1"/>
  <c r="BF251" i="3"/>
  <c r="BI251" i="3" s="1"/>
  <c r="BE123" i="3"/>
  <c r="BH123" i="3" s="1"/>
  <c r="BF123" i="3"/>
  <c r="BI123" i="3" s="1"/>
  <c r="BE97" i="3"/>
  <c r="BH97" i="3" s="1"/>
  <c r="BE90" i="3"/>
  <c r="BH90" i="3" s="1"/>
  <c r="BF90" i="3"/>
  <c r="BI90" i="3" s="1"/>
  <c r="AG257" i="3"/>
  <c r="AH257" i="3"/>
  <c r="BB151" i="3"/>
  <c r="BA151" i="3"/>
  <c r="BD151" i="3"/>
  <c r="AG185" i="3"/>
  <c r="AH185" i="3"/>
  <c r="BB203" i="3"/>
  <c r="BA203" i="3"/>
  <c r="BD203" i="3"/>
  <c r="BF192" i="3"/>
  <c r="BI192" i="3" s="1"/>
  <c r="BE192" i="3"/>
  <c r="BH192" i="3" s="1"/>
  <c r="AG225" i="3"/>
  <c r="AH225" i="3"/>
  <c r="BF149" i="3"/>
  <c r="BI149" i="3" s="1"/>
  <c r="BE149" i="3"/>
  <c r="BH149" i="3" s="1"/>
  <c r="AG112" i="3"/>
  <c r="AH112" i="3"/>
  <c r="BB180" i="3"/>
  <c r="BA180" i="3"/>
  <c r="BD180" i="3"/>
  <c r="BF242" i="3"/>
  <c r="BI242" i="3" s="1"/>
  <c r="BE242" i="3"/>
  <c r="BH242" i="3" s="1"/>
  <c r="BA259" i="3"/>
  <c r="BB259" i="3"/>
  <c r="BD259" i="3"/>
  <c r="BF198" i="3"/>
  <c r="BI198" i="3" s="1"/>
  <c r="BE198" i="3"/>
  <c r="BH198" i="3" s="1"/>
  <c r="BA109" i="3"/>
  <c r="BB109" i="3"/>
  <c r="BD109" i="3"/>
  <c r="AG157" i="3"/>
  <c r="AH157" i="3"/>
  <c r="BE133" i="3"/>
  <c r="BH133" i="3" s="1"/>
  <c r="BF133" i="3"/>
  <c r="BI133" i="3" s="1"/>
  <c r="AG195" i="3"/>
  <c r="AH195" i="3"/>
  <c r="BE263" i="3"/>
  <c r="BH263" i="3" s="1"/>
  <c r="BF263" i="3"/>
  <c r="BI263" i="3" s="1"/>
  <c r="BB129" i="3"/>
  <c r="BA129" i="3"/>
  <c r="BD129" i="3"/>
  <c r="BE68" i="3"/>
  <c r="BH68" i="3" s="1"/>
  <c r="BF68" i="3"/>
  <c r="BI68" i="3" s="1"/>
  <c r="BF197" i="3"/>
  <c r="BI197" i="3" s="1"/>
  <c r="BE197" i="3"/>
  <c r="BH197" i="3" s="1"/>
  <c r="BA254" i="3"/>
  <c r="BB254" i="3"/>
  <c r="BD254" i="3"/>
  <c r="BF83" i="3"/>
  <c r="BI83" i="3" s="1"/>
  <c r="BE83" i="3"/>
  <c r="BH83" i="3" s="1"/>
  <c r="BE166" i="3"/>
  <c r="BH166" i="3" s="1"/>
  <c r="BF166" i="3"/>
  <c r="BI166" i="3" s="1"/>
  <c r="AH176" i="3"/>
  <c r="AG176" i="3"/>
  <c r="BF105" i="3"/>
  <c r="BI105" i="3" s="1"/>
  <c r="BE105" i="3"/>
  <c r="BH105" i="3" s="1"/>
  <c r="AG64" i="3"/>
  <c r="AH64" i="3"/>
  <c r="BE154" i="3"/>
  <c r="BH154" i="3" s="1"/>
  <c r="BF154" i="3"/>
  <c r="BI154" i="3" s="1"/>
  <c r="BA69" i="3"/>
  <c r="BB69" i="3"/>
  <c r="BD69" i="3"/>
  <c r="BE207" i="3"/>
  <c r="BH207" i="3" s="1"/>
  <c r="BF207" i="3"/>
  <c r="BI207" i="3" s="1"/>
  <c r="BF220" i="3"/>
  <c r="BI220" i="3" s="1"/>
  <c r="BE220" i="3"/>
  <c r="BH220" i="3" s="1"/>
  <c r="BA258" i="3"/>
  <c r="BB258" i="3"/>
  <c r="BD258" i="3"/>
  <c r="BF155" i="3"/>
  <c r="BI155" i="3" s="1"/>
  <c r="BE155" i="3"/>
  <c r="BH155" i="3" s="1"/>
  <c r="BF160" i="3"/>
  <c r="BI160" i="3" s="1"/>
  <c r="BE160" i="3"/>
  <c r="BH160" i="3" s="1"/>
  <c r="BF161" i="3"/>
  <c r="BI161" i="3" s="1"/>
  <c r="BE161" i="3"/>
  <c r="BH161" i="3" s="1"/>
  <c r="AH97" i="3"/>
  <c r="AG97" i="3"/>
  <c r="BF224" i="3"/>
  <c r="BI224" i="3" s="1"/>
  <c r="BE224" i="3"/>
  <c r="BH224" i="3" s="1"/>
  <c r="BE217" i="3"/>
  <c r="BH217" i="3" s="1"/>
  <c r="BF217" i="3"/>
  <c r="BI217" i="3" s="1"/>
  <c r="BA226" i="3"/>
  <c r="BB226" i="3"/>
  <c r="BD226" i="3"/>
  <c r="AG221" i="3"/>
  <c r="AH221" i="3"/>
  <c r="BB106" i="3"/>
  <c r="BA106" i="3"/>
  <c r="BD106" i="3"/>
  <c r="AH96" i="3"/>
  <c r="AG96" i="3"/>
  <c r="BA75" i="3"/>
  <c r="BB75" i="3"/>
  <c r="BD75" i="3"/>
  <c r="BF225" i="3"/>
  <c r="BI225" i="3" s="1"/>
  <c r="BE225" i="3"/>
  <c r="BH225" i="3" s="1"/>
  <c r="BF193" i="3"/>
  <c r="BI193" i="3" s="1"/>
  <c r="BE193" i="3"/>
  <c r="BH193" i="3" s="1"/>
  <c r="AH102" i="3"/>
  <c r="AG102" i="3"/>
  <c r="AH197" i="3"/>
  <c r="AG197" i="3"/>
  <c r="BF176" i="3" l="1"/>
  <c r="BI176" i="3" s="1"/>
  <c r="BE99" i="3"/>
  <c r="BH99" i="3" s="1"/>
  <c r="BE232" i="3"/>
  <c r="BH232" i="3" s="1"/>
  <c r="BE82" i="3"/>
  <c r="BH82" i="3" s="1"/>
  <c r="BF200" i="3"/>
  <c r="BI200" i="3" s="1"/>
  <c r="BE65" i="3"/>
  <c r="BH65" i="3" s="1"/>
  <c r="BF195" i="3"/>
  <c r="BI195" i="3" s="1"/>
  <c r="BF201" i="3"/>
  <c r="BI201" i="3" s="1"/>
  <c r="BE136" i="3"/>
  <c r="BH136" i="3" s="1"/>
  <c r="BE228" i="3"/>
  <c r="BH228" i="3" s="1"/>
  <c r="BE257" i="3"/>
  <c r="BH257" i="3" s="1"/>
  <c r="BF229" i="3"/>
  <c r="BI229" i="3" s="1"/>
  <c r="BF139" i="3"/>
  <c r="BI139" i="3" s="1"/>
  <c r="BE103" i="3"/>
  <c r="BH103" i="3" s="1"/>
  <c r="BF119" i="3"/>
  <c r="BI119" i="3" s="1"/>
  <c r="BF100" i="3"/>
  <c r="BI100" i="3" s="1"/>
  <c r="BF255" i="3"/>
  <c r="BI255" i="3" s="1"/>
  <c r="BF240" i="3"/>
  <c r="BI240" i="3" s="1"/>
  <c r="BF101" i="3"/>
  <c r="BI101" i="3" s="1"/>
  <c r="BF157" i="3"/>
  <c r="BI157" i="3" s="1"/>
  <c r="BF215" i="3"/>
  <c r="BI215" i="3" s="1"/>
  <c r="BF152" i="3"/>
  <c r="BI152" i="3" s="1"/>
  <c r="BE222" i="3"/>
  <c r="BH222" i="3" s="1"/>
  <c r="BF104" i="3"/>
  <c r="BI104" i="3" s="1"/>
  <c r="BF92" i="3"/>
  <c r="BI92" i="3" s="1"/>
  <c r="BF187" i="3"/>
  <c r="BI187" i="3" s="1"/>
  <c r="BF231" i="3"/>
  <c r="BI231" i="3" s="1"/>
  <c r="BE145" i="3"/>
  <c r="BH145" i="3" s="1"/>
  <c r="BE80" i="3"/>
  <c r="BH80" i="3" s="1"/>
  <c r="BF96" i="3"/>
  <c r="BI96" i="3" s="1"/>
  <c r="BF87" i="3"/>
  <c r="BI87" i="3" s="1"/>
  <c r="BE219" i="3"/>
  <c r="BH219" i="3" s="1"/>
  <c r="BE77" i="3"/>
  <c r="BH77" i="3" s="1"/>
  <c r="BF181" i="3"/>
  <c r="BI181" i="3" s="1"/>
  <c r="BF94" i="3"/>
  <c r="BI94" i="3" s="1"/>
  <c r="BF239" i="3"/>
  <c r="BI239" i="3" s="1"/>
  <c r="BF89" i="3"/>
  <c r="BI89" i="3" s="1"/>
  <c r="BF256" i="3"/>
  <c r="BI256" i="3" s="1"/>
  <c r="BF113" i="3"/>
  <c r="BI113" i="3" s="1"/>
  <c r="BF244" i="3"/>
  <c r="BI244" i="3" s="1"/>
  <c r="BE76" i="3"/>
  <c r="BH76" i="3" s="1"/>
  <c r="BE204" i="3"/>
  <c r="BH204" i="3" s="1"/>
  <c r="BF185" i="3"/>
  <c r="BI185" i="3" s="1"/>
  <c r="BF221" i="3"/>
  <c r="BI221" i="3" s="1"/>
  <c r="BE211" i="3"/>
  <c r="BH211" i="3" s="1"/>
  <c r="BF72" i="3"/>
  <c r="BI72" i="3" s="1"/>
  <c r="BF243" i="3"/>
  <c r="BI243" i="3" s="1"/>
  <c r="BE93" i="3"/>
  <c r="BH93" i="3" s="1"/>
  <c r="BF107" i="3"/>
  <c r="BI107" i="3" s="1"/>
  <c r="BE112" i="3"/>
  <c r="BH112" i="3" s="1"/>
  <c r="BE260" i="3"/>
  <c r="BH260" i="3" s="1"/>
  <c r="BE172" i="3"/>
  <c r="BH172" i="3" s="1"/>
  <c r="BF227" i="3"/>
  <c r="BI227" i="3" s="1"/>
  <c r="BF189" i="3"/>
  <c r="BI189" i="3" s="1"/>
  <c r="BF182" i="3"/>
  <c r="BI182" i="3" s="1"/>
  <c r="BE218" i="3"/>
  <c r="BH218" i="3" s="1"/>
  <c r="BE144" i="3"/>
  <c r="BH144" i="3" s="1"/>
  <c r="BF114" i="3"/>
  <c r="BI114" i="3" s="1"/>
  <c r="BE236" i="3"/>
  <c r="BH236" i="3" s="1"/>
  <c r="BE202" i="3"/>
  <c r="BH202" i="3" s="1"/>
  <c r="BF183" i="3"/>
  <c r="BI183" i="3" s="1"/>
  <c r="BF230" i="3"/>
  <c r="BI230" i="3" s="1"/>
  <c r="BE234" i="3"/>
  <c r="BH234" i="3" s="1"/>
  <c r="BF78" i="3"/>
  <c r="BI78" i="3" s="1"/>
  <c r="BE212" i="3"/>
  <c r="BH212" i="3" s="1"/>
  <c r="BE210" i="3"/>
  <c r="BH210" i="3" s="1"/>
  <c r="BF95" i="3"/>
  <c r="BI95" i="3" s="1"/>
  <c r="BE95" i="3"/>
  <c r="BH95" i="3" s="1"/>
  <c r="BE203" i="3"/>
  <c r="BH203" i="3" s="1"/>
  <c r="BF203" i="3"/>
  <c r="BI203" i="3" s="1"/>
  <c r="BF75" i="3"/>
  <c r="BI75" i="3" s="1"/>
  <c r="BE75" i="3"/>
  <c r="BH75" i="3" s="1"/>
  <c r="BF226" i="3"/>
  <c r="BI226" i="3" s="1"/>
  <c r="BE226" i="3"/>
  <c r="BH226" i="3" s="1"/>
  <c r="BF258" i="3"/>
  <c r="BI258" i="3" s="1"/>
  <c r="BE258" i="3"/>
  <c r="BH258" i="3" s="1"/>
  <c r="BF254" i="3"/>
  <c r="BI254" i="3" s="1"/>
  <c r="BE254" i="3"/>
  <c r="BH254" i="3" s="1"/>
  <c r="BF109" i="3"/>
  <c r="BI109" i="3" s="1"/>
  <c r="BE109" i="3"/>
  <c r="BH109" i="3" s="1"/>
  <c r="BF180" i="3"/>
  <c r="BI180" i="3" s="1"/>
  <c r="BE180" i="3"/>
  <c r="BH180" i="3" s="1"/>
  <c r="BE235" i="3"/>
  <c r="BH235" i="3" s="1"/>
  <c r="BF235" i="3"/>
  <c r="BI235" i="3" s="1"/>
  <c r="BE74" i="3"/>
  <c r="BH74" i="3" s="1"/>
  <c r="BF74" i="3"/>
  <c r="BI74" i="3" s="1"/>
  <c r="BE237" i="3"/>
  <c r="BH237" i="3" s="1"/>
  <c r="BF237" i="3"/>
  <c r="BI237" i="3" s="1"/>
  <c r="BF259" i="3"/>
  <c r="BI259" i="3" s="1"/>
  <c r="BE259" i="3"/>
  <c r="BH259" i="3" s="1"/>
  <c r="BE131" i="3"/>
  <c r="BH131" i="3" s="1"/>
  <c r="BF131" i="3"/>
  <c r="BI131" i="3" s="1"/>
  <c r="BE106" i="3"/>
  <c r="BH106" i="3" s="1"/>
  <c r="BF106" i="3"/>
  <c r="BI106" i="3" s="1"/>
  <c r="BF151" i="3"/>
  <c r="BI151" i="3" s="1"/>
  <c r="BE151" i="3"/>
  <c r="BH151" i="3" s="1"/>
  <c r="BF120" i="3"/>
  <c r="BI120" i="3" s="1"/>
  <c r="BE120" i="3"/>
  <c r="BH120" i="3" s="1"/>
  <c r="BF156" i="3"/>
  <c r="BI156" i="3" s="1"/>
  <c r="BE156" i="3"/>
  <c r="BH156" i="3" s="1"/>
  <c r="BF69" i="3"/>
  <c r="BI69" i="3" s="1"/>
  <c r="BE69" i="3"/>
  <c r="BH69" i="3" s="1"/>
  <c r="BF147" i="3"/>
  <c r="BI147" i="3" s="1"/>
  <c r="BE147" i="3"/>
  <c r="BH147" i="3" s="1"/>
  <c r="BE129" i="3"/>
  <c r="BH129" i="3" s="1"/>
  <c r="BF129" i="3"/>
  <c r="BI129" i="3" s="1"/>
  <c r="BF206" i="3"/>
  <c r="BI206" i="3" s="1"/>
  <c r="BE206" i="3"/>
  <c r="BH206" i="3" s="1"/>
  <c r="BE164" i="3"/>
  <c r="BH164" i="3" s="1"/>
  <c r="BF164" i="3"/>
  <c r="BI164" i="3" s="1"/>
  <c r="BF167" i="3"/>
  <c r="BI167" i="3" s="1"/>
  <c r="BE167" i="3"/>
  <c r="BH167" i="3" s="1"/>
  <c r="BF143" i="3"/>
  <c r="BI143" i="3" s="1"/>
  <c r="BE143" i="3"/>
  <c r="BH143" i="3" s="1"/>
  <c r="M36" i="3" l="1"/>
  <c r="O36" i="3" s="1"/>
  <c r="M34" i="3"/>
  <c r="M35" i="3"/>
  <c r="O35" i="3" s="1"/>
</calcChain>
</file>

<file path=xl/sharedStrings.xml><?xml version="1.0" encoding="utf-8"?>
<sst xmlns="http://schemas.openxmlformats.org/spreadsheetml/2006/main" count="395" uniqueCount="283">
  <si>
    <t>Power Loss Calculation</t>
  </si>
  <si>
    <t>Switching Frequency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</si>
  <si>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</si>
  <si>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</si>
  <si>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</si>
  <si>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</si>
  <si>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</si>
  <si>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</si>
  <si>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</si>
  <si>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</si>
  <si>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</si>
  <si>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</si>
  <si>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</si>
  <si>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</si>
  <si>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</si>
  <si>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</si>
  <si>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</si>
  <si>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</si>
  <si>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</si>
  <si>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</si>
  <si>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</si>
  <si>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</si>
  <si>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</si>
  <si>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</si>
  <si>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</si>
  <si>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</si>
  <si>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</si>
  <si>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</si>
  <si>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</si>
  <si>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</si>
  <si>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</si>
  <si>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</si>
  <si>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</si>
  <si>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</si>
  <si>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</si>
  <si>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</si>
  <si>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</si>
  <si>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</si>
  <si>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</si>
  <si>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</si>
  <si>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</si>
  <si>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</si>
  <si>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</si>
  <si>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</si>
  <si>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</si>
  <si>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</si>
  <si>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</si>
  <si>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</si>
  <si>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</si>
  <si>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</si>
  <si>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</si>
  <si>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</si>
  <si>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</si>
  <si>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</si>
  <si>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</si>
  <si>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</si>
  <si>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</si>
  <si>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</si>
  <si>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</si>
  <si>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</si>
  <si>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</si>
  <si>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</si>
  <si>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</si>
  <si>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</si>
  <si>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</si>
  <si>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</si>
  <si>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</si>
  <si>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</si>
  <si>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</si>
  <si>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</si>
  <si>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</si>
  <si>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</si>
  <si>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</si>
  <si>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</si>
  <si>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</si>
  <si>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</si>
  <si>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</si>
  <si>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</si>
  <si>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</si>
  <si>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>Body diode conduction loss = Vd*Fsw*[ (Iout+Irip/2) * Td1+ (Iout-Irip/2) * Td2]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</si>
  <si>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</si>
  <si>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</si>
  <si>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</si>
  <si>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</si>
  <si>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</si>
  <si>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</si>
  <si>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</si>
  <si>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</si>
  <si>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</si>
  <si>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</si>
  <si>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</si>
  <si>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</si>
  <si>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</si>
  <si>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</si>
  <si>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</si>
  <si>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</si>
  <si>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</si>
  <si>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</si>
  <si>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</si>
  <si>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</si>
  <si>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</si>
  <si>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</si>
  <si>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</si>
  <si>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</si>
  <si>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</si>
  <si>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</si>
  <si>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</si>
  <si>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</si>
  <si>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</si>
  <si>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</si>
  <si>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</si>
  <si>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</si>
  <si>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</si>
  <si>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</si>
  <si>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</si>
  <si>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</si>
  <si>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</si>
  <si>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</si>
  <si>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</si>
  <si>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</si>
  <si>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V_ls_diode</t>
  </si>
  <si>
    <t>Dead Time</t>
  </si>
  <si>
    <t>nsec</t>
  </si>
  <si>
    <t>uA</t>
  </si>
  <si>
    <t>On time pulse</t>
  </si>
  <si>
    <t>Off time pulse</t>
  </si>
  <si>
    <t>Hz</t>
  </si>
  <si>
    <t>f1=1/(dt1+dt2)</t>
  </si>
  <si>
    <t>f2=2*Iout(I_PFM_pk/2 -Iout)/((Vout_upper-Vout)*Cout*I_PFM_pk)</t>
  </si>
  <si>
    <t>Inductor conduction loss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</si>
  <si>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</si>
  <si>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</si>
  <si>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</si>
  <si>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</si>
  <si>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</si>
  <si>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</si>
  <si>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</si>
  <si>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</si>
  <si>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</si>
  <si>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</si>
  <si>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</si>
  <si>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</si>
  <si>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</si>
  <si>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</si>
  <si>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</si>
  <si>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</si>
  <si>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 xml:space="preserve">Compensator Design - Type 2  </t>
  </si>
  <si>
    <t>Note: In order for the Compensation Design to work, need to have the Analysis Tool Pack active.</t>
  </si>
  <si>
    <t xml:space="preserve">See Below For Graphical Represenatation of Ti(s), Tv(s), T(s), Rfb1, Rfb2, Cfb1, R1, C1, C2 </t>
  </si>
  <si>
    <t xml:space="preserve">1. Go to File, then Option. </t>
  </si>
  <si>
    <t>Transfer Function</t>
  </si>
  <si>
    <t>Controller</t>
  </si>
  <si>
    <t xml:space="preserve">2. Select Add-Ins. </t>
  </si>
  <si>
    <r>
      <t>Tran-resistance, R</t>
    </r>
    <r>
      <rPr>
        <vertAlign val="subscript"/>
        <sz val="10"/>
        <rFont val="Arial"/>
        <family val="2"/>
      </rPr>
      <t>T</t>
    </r>
  </si>
  <si>
    <t>3. If Analysis-ToolPak if it is inactive. Then use the manage menu.</t>
  </si>
  <si>
    <r>
      <t>Slope Compensation, S</t>
    </r>
    <r>
      <rPr>
        <vertAlign val="subscript"/>
        <sz val="10"/>
        <rFont val="Arial"/>
        <family val="2"/>
      </rPr>
      <t>E (without Fs)</t>
    </r>
  </si>
  <si>
    <t>Current Sense, Sn</t>
  </si>
  <si>
    <t>A/s</t>
  </si>
  <si>
    <t>4. Select Excel Add-ins and click Go.</t>
  </si>
  <si>
    <r>
      <t>Total Control Slope, m</t>
    </r>
    <r>
      <rPr>
        <vertAlign val="subscript"/>
        <sz val="10"/>
        <rFont val="Arial"/>
        <family val="2"/>
      </rPr>
      <t>c</t>
    </r>
  </si>
  <si>
    <t>5. Check Analysis-ToolPak and click OK.</t>
  </si>
  <si>
    <t>ωo</t>
  </si>
  <si>
    <t>Error Amp Output Resistance, Roerr</t>
  </si>
  <si>
    <t>ohm</t>
  </si>
  <si>
    <t>Fesr</t>
  </si>
  <si>
    <t>Feedback Voltage, VFB</t>
  </si>
  <si>
    <t>Fz</t>
  </si>
  <si>
    <t>Transconductance, gm</t>
  </si>
  <si>
    <t>S</t>
  </si>
  <si>
    <t>Q</t>
  </si>
  <si>
    <t>Caculated Values</t>
  </si>
  <si>
    <t>Selected Values</t>
  </si>
  <si>
    <t>Fs</t>
  </si>
  <si>
    <t>Desired Fc</t>
  </si>
  <si>
    <t>of Fs = Fc</t>
  </si>
  <si>
    <t>Resistive Divider</t>
  </si>
  <si>
    <t>F</t>
  </si>
  <si>
    <t>User Selects R1</t>
  </si>
  <si>
    <t>User Selects R2</t>
  </si>
  <si>
    <t>Fz1</t>
  </si>
  <si>
    <t>Fp2</t>
  </si>
  <si>
    <t>User Selects Cfb2</t>
  </si>
  <si>
    <t>Bandwidth</t>
  </si>
  <si>
    <t>Phase margin</t>
  </si>
  <si>
    <t>degree</t>
  </si>
  <si>
    <t>Sampling Transfer Functions</t>
  </si>
  <si>
    <t>wn</t>
  </si>
  <si>
    <t>Qn</t>
  </si>
  <si>
    <t>Fm</t>
  </si>
  <si>
    <t>Fstart</t>
  </si>
  <si>
    <t>Fstop</t>
  </si>
  <si>
    <t>Fstep</t>
  </si>
  <si>
    <t>Step</t>
  </si>
  <si>
    <t>Calculations for the Sampling Transfer function</t>
  </si>
  <si>
    <t>Current Loop Gain</t>
  </si>
  <si>
    <t>Open Loop Voltage Gain</t>
  </si>
  <si>
    <t>Total Loop Gain</t>
  </si>
  <si>
    <t>Voltage Divider Gain</t>
  </si>
  <si>
    <t>Gain of Internal Compensation</t>
  </si>
  <si>
    <t>Open Loop to Inductor Current Transfer function</t>
  </si>
  <si>
    <t>Open Loop duty Cycle to Output Voltage Transfer Function</t>
  </si>
  <si>
    <t>Fm*Rt*Fdi(S)*He(S)</t>
  </si>
  <si>
    <t>Fm*Fdv(S)</t>
  </si>
  <si>
    <t>TV(S)/1+Ti(S)</t>
  </si>
  <si>
    <t>Compensator</t>
  </si>
  <si>
    <t>Voltage loop with compensation</t>
  </si>
  <si>
    <t>Closed Loop with Compensation</t>
  </si>
  <si>
    <t>To Find the Bandwidth</t>
  </si>
  <si>
    <t>S = j*2*pi*F</t>
  </si>
  <si>
    <t>Real He(s)</t>
  </si>
  <si>
    <t>Imag He(S)</t>
  </si>
  <si>
    <t>Complex He(S)</t>
  </si>
  <si>
    <t>Gain He(S)</t>
  </si>
  <si>
    <t>Phase He(S)</t>
  </si>
  <si>
    <t>Gain</t>
  </si>
  <si>
    <t>Upper Complex</t>
  </si>
  <si>
    <t>Lower Complex</t>
  </si>
  <si>
    <t>Fdi(S)</t>
  </si>
  <si>
    <t>lower Same as inductor</t>
  </si>
  <si>
    <t>Fdv(S)</t>
  </si>
  <si>
    <t>Ti(s)</t>
  </si>
  <si>
    <t>Phase</t>
  </si>
  <si>
    <t>Tv(S)</t>
  </si>
  <si>
    <t>T(S)</t>
  </si>
  <si>
    <t>gain</t>
  </si>
  <si>
    <t>phase</t>
  </si>
  <si>
    <t>Z1(S)</t>
  </si>
  <si>
    <t>Z2(S)</t>
  </si>
  <si>
    <t>2nd gm pole</t>
  </si>
  <si>
    <t>2nd gm pole//Cp1</t>
  </si>
  <si>
    <t>2 poles contribution</t>
  </si>
  <si>
    <t>Voltage Gain Denominator</t>
  </si>
  <si>
    <t>K(S)</t>
  </si>
  <si>
    <t>top</t>
  </si>
  <si>
    <t>bottom</t>
  </si>
  <si>
    <t>A(S)</t>
  </si>
  <si>
    <t>K(S)*A(S)</t>
  </si>
  <si>
    <t>mag</t>
  </si>
  <si>
    <t>Tv(s)c</t>
  </si>
  <si>
    <t>T(s)</t>
  </si>
  <si>
    <t>1-gain</t>
  </si>
  <si>
    <t>-Phase</t>
  </si>
  <si>
    <t>Gain margin</t>
  </si>
  <si>
    <t>Lower MOSFET diode reverse recovery loss = n*Vin*Fsw*Qrr/2</t>
  </si>
  <si>
    <t>User Selects C3</t>
  </si>
  <si>
    <t>R3</t>
  </si>
  <si>
    <t>C5</t>
  </si>
  <si>
    <t>C6</t>
  </si>
  <si>
    <t>Output Voltage Ripple</t>
  </si>
  <si>
    <t>dB</t>
  </si>
  <si>
    <t>mVp-p</t>
  </si>
  <si>
    <t>Program UVLO:</t>
  </si>
  <si>
    <r>
      <t>V</t>
    </r>
    <r>
      <rPr>
        <b/>
        <vertAlign val="subscript"/>
        <sz val="10"/>
        <rFont val="Arial"/>
        <family val="2"/>
      </rPr>
      <t>ON</t>
    </r>
  </si>
  <si>
    <t>kOhm</t>
  </si>
  <si>
    <r>
      <t>V</t>
    </r>
    <r>
      <rPr>
        <b/>
        <vertAlign val="subscript"/>
        <sz val="10"/>
        <rFont val="Arial"/>
        <family val="2"/>
      </rPr>
      <t>OFF</t>
    </r>
  </si>
  <si>
    <t>Version 2.0</t>
  </si>
  <si>
    <t>R5</t>
  </si>
  <si>
    <t>R6</t>
  </si>
  <si>
    <t>AP63206</t>
  </si>
  <si>
    <t>AP63207</t>
  </si>
  <si>
    <t>AP63356</t>
  </si>
  <si>
    <t>AP63357</t>
  </si>
  <si>
    <t>Part Number</t>
  </si>
  <si>
    <t>Internal</t>
  </si>
  <si>
    <t>External</t>
  </si>
  <si>
    <t>Compensation Scheme</t>
  </si>
  <si>
    <t>Time shift</t>
  </si>
  <si>
    <t>Frequency</t>
  </si>
  <si>
    <t>Energy Current</t>
  </si>
  <si>
    <t>DCM-CCM Boundary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</si>
  <si>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</si>
  <si>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</si>
  <si>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AP63206Q</t>
  </si>
  <si>
    <t>AP63207Q</t>
  </si>
  <si>
    <t>AP63356Q</t>
  </si>
  <si>
    <t>AP63357Q</t>
  </si>
  <si>
    <t>6. Go to File, then Option.</t>
  </si>
  <si>
    <t>7. Select Advance.</t>
  </si>
  <si>
    <t>8. Unselect Use System separator</t>
  </si>
  <si>
    <t/>
  </si>
  <si>
    <t>9. Change to local Decimal/Thousand separator to "." or ","</t>
  </si>
  <si>
    <t>10. Click OK.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</si>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</sst>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9"/>
      <name val="Arial"/>
      <family val="2"/>
    </font>
    <font>
      <vertAlign val="subscript"/>
      <sz val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1"/>
      <color rgb="FFFFFF66"/>
      <name val="Calibri"/>
      <family val="2"/>
      <scheme val="minor"/>
    </font>
    <font>
      <b/>
      <u/>
      <sz val="1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10"/>
      <name val="Calibri"/>
      <family val="2"/>
    </font>
    <font>
      <b/>
      <sz val="18"/>
      <color rgb="FFFF0000"/>
      <name val="Arial"/>
      <family val="2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4" borderId="0" xfId="0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2" applyFont="1" applyFill="1"/>
    <xf numFmtId="0" fontId="2" fillId="4" borderId="0" xfId="2" applyFont="1" applyFill="1"/>
    <xf numFmtId="0" fontId="10" fillId="2" borderId="0" xfId="0" applyFont="1" applyFill="1"/>
    <xf numFmtId="0" fontId="11" fillId="4" borderId="0" xfId="0" applyFont="1" applyFill="1"/>
    <xf numFmtId="164" fontId="2" fillId="5" borderId="0" xfId="2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/>
    <xf numFmtId="11" fontId="15" fillId="0" borderId="0" xfId="3" applyNumberFormat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6" xfId="0" applyFill="1" applyBorder="1"/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2" borderId="10" xfId="0" applyFill="1" applyBorder="1"/>
    <xf numFmtId="0" fontId="0" fillId="5" borderId="9" xfId="0" applyFill="1" applyBorder="1"/>
    <xf numFmtId="11" fontId="0" fillId="5" borderId="10" xfId="0" applyNumberFormat="1" applyFill="1" applyBorder="1"/>
    <xf numFmtId="0" fontId="0" fillId="4" borderId="10" xfId="0" applyFill="1" applyBorder="1"/>
    <xf numFmtId="0" fontId="0" fillId="2" borderId="11" xfId="0" applyFill="1" applyBorder="1"/>
    <xf numFmtId="0" fontId="0" fillId="5" borderId="6" xfId="0" applyFill="1" applyBorder="1"/>
    <xf numFmtId="1" fontId="0" fillId="5" borderId="11" xfId="0" applyNumberFormat="1" applyFill="1" applyBorder="1"/>
    <xf numFmtId="0" fontId="0" fillId="4" borderId="11" xfId="0" applyFill="1" applyBorder="1"/>
    <xf numFmtId="0" fontId="0" fillId="5" borderId="1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3" borderId="13" xfId="0" applyNumberFormat="1" applyFill="1" applyBorder="1" applyProtection="1">
      <protection locked="0"/>
    </xf>
    <xf numFmtId="165" fontId="0" fillId="5" borderId="11" xfId="0" applyNumberFormat="1" applyFill="1" applyBorder="1"/>
    <xf numFmtId="0" fontId="0" fillId="2" borderId="13" xfId="0" applyFill="1" applyBorder="1"/>
    <xf numFmtId="0" fontId="0" fillId="5" borderId="14" xfId="0" applyFill="1" applyBorder="1"/>
    <xf numFmtId="11" fontId="0" fillId="5" borderId="13" xfId="0" applyNumberFormat="1" applyFill="1" applyBorder="1"/>
    <xf numFmtId="0" fontId="0" fillId="4" borderId="13" xfId="0" applyFill="1" applyBorder="1"/>
    <xf numFmtId="0" fontId="20" fillId="2" borderId="2" xfId="0" applyFont="1" applyFill="1" applyBorder="1" applyProtection="1"/>
    <xf numFmtId="9" fontId="20" fillId="8" borderId="0" xfId="1" applyFont="1" applyFill="1" applyBorder="1" applyProtection="1">
      <protection locked="0"/>
    </xf>
    <xf numFmtId="0" fontId="20" fillId="0" borderId="10" xfId="0" applyFont="1" applyBorder="1" applyProtection="1"/>
    <xf numFmtId="0" fontId="20" fillId="4" borderId="10" xfId="0" applyFont="1" applyFill="1" applyBorder="1" applyProtection="1"/>
    <xf numFmtId="11" fontId="21" fillId="5" borderId="0" xfId="0" applyNumberFormat="1" applyFont="1" applyFill="1" applyBorder="1"/>
    <xf numFmtId="0" fontId="20" fillId="4" borderId="11" xfId="0" applyFont="1" applyFill="1" applyBorder="1" applyProtection="1"/>
    <xf numFmtId="166" fontId="21" fillId="5" borderId="0" xfId="0" applyNumberFormat="1" applyFont="1" applyFill="1" applyBorder="1"/>
    <xf numFmtId="0" fontId="0" fillId="5" borderId="10" xfId="0" applyNumberFormat="1" applyFill="1" applyBorder="1" applyProtection="1"/>
    <xf numFmtId="0" fontId="0" fillId="4" borderId="7" xfId="0" applyFill="1" applyBorder="1"/>
    <xf numFmtId="0" fontId="0" fillId="5" borderId="15" xfId="0" applyFill="1" applyBorder="1"/>
    <xf numFmtId="0" fontId="0" fillId="4" borderId="12" xfId="0" applyFill="1" applyBorder="1"/>
    <xf numFmtId="0" fontId="0" fillId="2" borderId="14" xfId="0" applyFill="1" applyBorder="1"/>
    <xf numFmtId="0" fontId="0" fillId="2" borderId="7" xfId="0" applyFill="1" applyBorder="1"/>
    <xf numFmtId="1" fontId="21" fillId="5" borderId="8" xfId="0" applyNumberFormat="1" applyFont="1" applyFill="1" applyBorder="1"/>
    <xf numFmtId="11" fontId="0" fillId="3" borderId="10" xfId="0" applyNumberFormat="1" applyFill="1" applyBorder="1" applyProtection="1">
      <protection locked="0"/>
    </xf>
    <xf numFmtId="0" fontId="0" fillId="2" borderId="12" xfId="0" applyFill="1" applyBorder="1"/>
    <xf numFmtId="166" fontId="21" fillId="5" borderId="1" xfId="0" applyNumberFormat="1" applyFont="1" applyFill="1" applyBorder="1"/>
    <xf numFmtId="0" fontId="20" fillId="4" borderId="13" xfId="0" applyFont="1" applyFill="1" applyBorder="1" applyProtection="1"/>
    <xf numFmtId="0" fontId="20" fillId="0" borderId="13" xfId="0" applyFont="1" applyBorder="1" applyProtection="1"/>
    <xf numFmtId="0" fontId="22" fillId="2" borderId="0" xfId="0" applyFont="1" applyFill="1"/>
    <xf numFmtId="0" fontId="23" fillId="2" borderId="0" xfId="0" applyFont="1" applyFill="1" applyBorder="1" applyProtection="1"/>
    <xf numFmtId="2" fontId="22" fillId="2" borderId="0" xfId="0" applyNumberFormat="1" applyFont="1" applyFill="1" applyBorder="1"/>
    <xf numFmtId="0" fontId="22" fillId="0" borderId="0" xfId="0" applyFont="1"/>
    <xf numFmtId="0" fontId="24" fillId="2" borderId="0" xfId="0" applyFont="1" applyFill="1"/>
    <xf numFmtId="11" fontId="24" fillId="2" borderId="0" xfId="0" applyNumberFormat="1" applyFont="1" applyFill="1"/>
    <xf numFmtId="0" fontId="24" fillId="2" borderId="0" xfId="0" applyFont="1" applyFill="1" applyAlignment="1">
      <alignment horizontal="center"/>
    </xf>
    <xf numFmtId="0" fontId="21" fillId="2" borderId="0" xfId="0" applyFont="1" applyFill="1"/>
    <xf numFmtId="0" fontId="25" fillId="2" borderId="0" xfId="0" applyFont="1" applyFill="1"/>
    <xf numFmtId="2" fontId="21" fillId="5" borderId="10" xfId="0" applyNumberFormat="1" applyFont="1" applyFill="1" applyBorder="1"/>
    <xf numFmtId="2" fontId="21" fillId="5" borderId="11" xfId="0" applyNumberFormat="1" applyFont="1" applyFill="1" applyBorder="1"/>
    <xf numFmtId="2" fontId="21" fillId="5" borderId="13" xfId="0" applyNumberFormat="1" applyFont="1" applyFill="1" applyBorder="1"/>
    <xf numFmtId="0" fontId="20" fillId="0" borderId="11" xfId="0" applyFont="1" applyBorder="1" applyProtection="1"/>
    <xf numFmtId="11" fontId="27" fillId="3" borderId="13" xfId="0" applyNumberFormat="1" applyFont="1" applyFill="1" applyBorder="1" applyProtection="1"/>
    <xf numFmtId="0" fontId="0" fillId="4" borderId="13" xfId="0" applyFill="1" applyBorder="1" applyProtection="1"/>
    <xf numFmtId="166" fontId="8" fillId="2" borderId="0" xfId="0" applyNumberFormat="1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11" borderId="0" xfId="0" applyFont="1" applyFill="1" applyProtection="1"/>
    <xf numFmtId="0" fontId="8" fillId="2" borderId="0" xfId="0" applyFont="1" applyFill="1" applyAlignment="1">
      <alignment horizontal="center"/>
    </xf>
    <xf numFmtId="0" fontId="24" fillId="2" borderId="0" xfId="0" quotePrefix="1" applyFont="1" applyFill="1"/>
    <xf numFmtId="0" fontId="24" fillId="2" borderId="0" xfId="4" quotePrefix="1" applyFont="1" applyFill="1"/>
    <xf numFmtId="0" fontId="24" fillId="2" borderId="0" xfId="4" applyFont="1" applyFill="1"/>
    <xf numFmtId="0" fontId="0" fillId="12" borderId="10" xfId="0" applyFill="1" applyBorder="1" applyProtection="1"/>
    <xf numFmtId="0" fontId="0" fillId="4" borderId="9" xfId="0" applyFill="1" applyBorder="1" applyProtection="1"/>
    <xf numFmtId="0" fontId="0" fillId="12" borderId="11" xfId="0" applyFill="1" applyBorder="1" applyProtection="1"/>
    <xf numFmtId="0" fontId="0" fillId="4" borderId="6" xfId="0" applyFill="1" applyBorder="1" applyProtection="1"/>
    <xf numFmtId="11" fontId="0" fillId="5" borderId="11" xfId="0" applyNumberFormat="1" applyFill="1" applyBorder="1" applyProtection="1"/>
    <xf numFmtId="11" fontId="0" fillId="12" borderId="11" xfId="0" applyNumberFormat="1" applyFill="1" applyBorder="1" applyProtection="1"/>
    <xf numFmtId="11" fontId="0" fillId="12" borderId="13" xfId="0" applyNumberFormat="1" applyFill="1" applyBorder="1" applyProtection="1"/>
    <xf numFmtId="0" fontId="0" fillId="4" borderId="14" xfId="0" applyFill="1" applyBorder="1" applyProtection="1"/>
    <xf numFmtId="0" fontId="21" fillId="5" borderId="0" xfId="0" applyFont="1" applyFill="1" applyBorder="1" applyProtection="1"/>
    <xf numFmtId="0" fontId="2" fillId="3" borderId="0" xfId="2" applyFont="1" applyFill="1" applyProtection="1">
      <protection locked="0"/>
    </xf>
    <xf numFmtId="0" fontId="8" fillId="2" borderId="0" xfId="0" applyFont="1" applyFill="1" applyProtection="1"/>
    <xf numFmtId="0" fontId="8" fillId="11" borderId="0" xfId="0" applyFont="1" applyFill="1" applyAlignment="1" applyProtection="1">
      <alignment horizontal="right"/>
    </xf>
    <xf numFmtId="0" fontId="29" fillId="2" borderId="0" xfId="0" applyFont="1" applyFill="1"/>
    <xf numFmtId="164" fontId="2" fillId="3" borderId="0" xfId="0" applyNumberFormat="1" applyFont="1" applyFill="1" applyAlignment="1" applyProtection="1">
      <alignment horizontal="right" vertical="center"/>
      <protection locked="0"/>
    </xf>
    <xf numFmtId="0" fontId="2" fillId="11" borderId="0" xfId="0" applyFont="1" applyFill="1"/>
    <xf numFmtId="1" fontId="21" fillId="5" borderId="0" xfId="0" applyNumberFormat="1" applyFont="1" applyFill="1" applyBorder="1"/>
    <xf numFmtId="11" fontId="0" fillId="3" borderId="16" xfId="0" applyNumberFormat="1" applyFill="1" applyBorder="1" applyProtection="1">
      <protection locked="0"/>
    </xf>
    <xf numFmtId="0" fontId="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 applyProtection="1">
      <alignment vertical="center"/>
      <protection locked="0"/>
    </xf>
    <xf numFmtId="1" fontId="2" fillId="5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164" fontId="7" fillId="5" borderId="0" xfId="0" applyNumberFormat="1" applyFont="1" applyFill="1" applyAlignment="1">
      <alignment vertical="center"/>
    </xf>
    <xf numFmtId="1" fontId="2" fillId="3" borderId="0" xfId="0" applyNumberFormat="1" applyFont="1" applyFill="1" applyAlignment="1" applyProtection="1">
      <alignment vertical="center"/>
      <protection locked="0"/>
    </xf>
    <xf numFmtId="1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/>
    <xf numFmtId="0" fontId="8" fillId="2" borderId="1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Protection="1">
      <protection hidden="1"/>
    </xf>
    <xf numFmtId="0" fontId="8" fillId="2" borderId="0" xfId="0" applyFont="1" applyFill="1"/>
    <xf numFmtId="165" fontId="8" fillId="2" borderId="0" xfId="0" applyNumberFormat="1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0" fillId="2" borderId="0" xfId="0" applyFill="1"/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165" fontId="8" fillId="2" borderId="0" xfId="0" applyNumberFormat="1" applyFont="1" applyFill="1" applyBorder="1"/>
    <xf numFmtId="0" fontId="34" fillId="2" borderId="0" xfId="0" applyFont="1" applyFill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1" fontId="8" fillId="2" borderId="0" xfId="0" applyNumberFormat="1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0" fontId="35" fillId="2" borderId="0" xfId="0" applyFont="1" applyFill="1" applyProtection="1">
      <protection hidden="1"/>
    </xf>
    <xf numFmtId="0" fontId="8" fillId="2" borderId="0" xfId="2" applyFont="1" applyFill="1" applyProtection="1">
      <protection hidden="1"/>
    </xf>
    <xf numFmtId="165" fontId="8" fillId="2" borderId="0" xfId="2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35" fillId="2" borderId="0" xfId="0" applyNumberFormat="1" applyFont="1" applyFill="1" applyProtection="1">
      <protection hidden="1"/>
    </xf>
    <xf numFmtId="0" fontId="31" fillId="2" borderId="2" xfId="0" applyFont="1" applyFill="1" applyBorder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0" fontId="26" fillId="2" borderId="0" xfId="0" applyFont="1" applyFill="1"/>
    <xf numFmtId="0" fontId="0" fillId="5" borderId="12" xfId="0" applyFill="1" applyBorder="1" applyAlignment="1"/>
    <xf numFmtId="0" fontId="0" fillId="0" borderId="14" xfId="0" applyBorder="1" applyAlignment="1"/>
    <xf numFmtId="0" fontId="0" fillId="5" borderId="7" xfId="0" applyFill="1" applyBorder="1" applyAlignment="1"/>
    <xf numFmtId="0" fontId="0" fillId="0" borderId="9" xfId="0" applyBorder="1" applyAlignment="1"/>
    <xf numFmtId="0" fontId="28" fillId="5" borderId="12" xfId="0" applyFont="1" applyFill="1" applyBorder="1" applyAlignment="1" applyProtection="1"/>
    <xf numFmtId="0" fontId="28" fillId="0" borderId="14" xfId="0" applyFont="1" applyBorder="1" applyAlignment="1" applyProtection="1"/>
    <xf numFmtId="0" fontId="8" fillId="2" borderId="0" xfId="0" applyFont="1" applyFill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1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1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1" fillId="2" borderId="2" xfId="0" applyFont="1" applyFill="1" applyBorder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2" fillId="10" borderId="4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5" fillId="0" borderId="0" xfId="3" applyAlignment="1">
      <alignment horizontal="center" vertical="center"/>
    </xf>
    <xf numFmtId="0" fontId="16" fillId="9" borderId="0" xfId="0" applyFont="1" applyFill="1" applyAlignment="1">
      <alignment horizontal="center"/>
    </xf>
    <xf numFmtId="0" fontId="0" fillId="0" borderId="0" xfId="0" applyAlignment="1"/>
    <xf numFmtId="0" fontId="18" fillId="9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</cellXfs>
  <cellStyles count="7">
    <cellStyle name="Normal" xfId="0" builtinId="0"/>
    <cellStyle name="Normal 2" xfId="2"/>
    <cellStyle name="Normal 3" xfId="4"/>
    <cellStyle name="Normal 4" xfId="3"/>
    <cellStyle name="Percent" xfId="1" builtinId="5"/>
    <cellStyle name="Percent 2" xfId="6"/>
    <cellStyle name="Percent 3" xfId="5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  <color rgb="FFCC9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2532854445825853"/>
          <c:w val="0.8479459948616066"/>
          <c:h val="0.74612822519992017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0.22494818580444012</c:v>
                </c:pt>
                <c:pt idx="1">
                  <c:v>0.48367433010931976</c:v>
                </c:pt>
                <c:pt idx="3">
                  <c:v>0.25418923665770182</c:v>
                </c:pt>
                <c:pt idx="4" formatCode="0.000E+00">
                  <c:v>7.2973091644254516E-4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0.44914134052104071</c:v>
                </c:pt>
                <c:pt idx="1">
                  <c:v>0.11477622801174321</c:v>
                </c:pt>
                <c:pt idx="2">
                  <c:v>8.9999999999999998E-4</c:v>
                </c:pt>
                <c:pt idx="3">
                  <c:v>2.2332629415404492E-2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94976"/>
        <c:axId val="51296896"/>
      </c:barChart>
      <c:catAx>
        <c:axId val="5129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268777499245885"/>
              <c:y val="0.9358462648309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2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2949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82472253715972"/>
          <c:y val="0.12571042654755873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ln>
            <a:noFill/>
          </a:ln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91440282383464E-2"/>
          <c:y val="0.16374300176466894"/>
          <c:w val="0.88295275096507109"/>
          <c:h val="0.73879282939058954"/>
        </c:manualLayout>
      </c:layout>
      <c:scatterChart>
        <c:scatterStyle val="smoothMarker"/>
        <c:varyColors val="0"/>
        <c:ser>
          <c:idx val="0"/>
          <c:order val="0"/>
          <c:tx>
            <c:v>PWM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3.9990000000000008E-3</c:v>
                </c:pt>
                <c:pt idx="2">
                  <c:v>6.9980000000000007E-3</c:v>
                </c:pt>
                <c:pt idx="3">
                  <c:v>1.2996000000000001E-2</c:v>
                </c:pt>
                <c:pt idx="4">
                  <c:v>1.8994E-2</c:v>
                </c:pt>
                <c:pt idx="5">
                  <c:v>2.4992000000000004E-2</c:v>
                </c:pt>
                <c:pt idx="6">
                  <c:v>3.0990000000000004E-2</c:v>
                </c:pt>
                <c:pt idx="7">
                  <c:v>6.0980000000000006E-2</c:v>
                </c:pt>
                <c:pt idx="8">
                  <c:v>0.12096000000000001</c:v>
                </c:pt>
                <c:pt idx="9">
                  <c:v>0.18093999999999999</c:v>
                </c:pt>
                <c:pt idx="10">
                  <c:v>0.24092000000000002</c:v>
                </c:pt>
                <c:pt idx="11">
                  <c:v>0.30090000000000006</c:v>
                </c:pt>
                <c:pt idx="12">
                  <c:v>0.45084999999999997</c:v>
                </c:pt>
                <c:pt idx="13">
                  <c:v>0.60080000000000011</c:v>
                </c:pt>
                <c:pt idx="14">
                  <c:v>0.75075000000000003</c:v>
                </c:pt>
                <c:pt idx="15">
                  <c:v>1.0506499999999999</c:v>
                </c:pt>
                <c:pt idx="16">
                  <c:v>1.2006000000000001</c:v>
                </c:pt>
                <c:pt idx="17">
                  <c:v>1.3505499999999999</c:v>
                </c:pt>
                <c:pt idx="18">
                  <c:v>1.5004999999999999</c:v>
                </c:pt>
                <c:pt idx="19">
                  <c:v>1.6504500000000002</c:v>
                </c:pt>
                <c:pt idx="20">
                  <c:v>1.8003999999999998</c:v>
                </c:pt>
                <c:pt idx="21">
                  <c:v>1.95035</c:v>
                </c:pt>
                <c:pt idx="22">
                  <c:v>2.1002999999999998</c:v>
                </c:pt>
                <c:pt idx="23">
                  <c:v>2.2502499999999999</c:v>
                </c:pt>
                <c:pt idx="24">
                  <c:v>2.4002000000000003</c:v>
                </c:pt>
                <c:pt idx="25">
                  <c:v>2.5501499999999999</c:v>
                </c:pt>
                <c:pt idx="26">
                  <c:v>2.7000999999999999</c:v>
                </c:pt>
                <c:pt idx="27">
                  <c:v>2.85005</c:v>
                </c:pt>
                <c:pt idx="28">
                  <c:v>3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3.3566671106010624</c:v>
                </c:pt>
                <c:pt idx="1">
                  <c:v>12.171947615005324</c:v>
                </c:pt>
                <c:pt idx="2">
                  <c:v>19.48355409129616</c:v>
                </c:pt>
                <c:pt idx="3">
                  <c:v>30.909491437757421</c:v>
                </c:pt>
                <c:pt idx="4">
                  <c:v>39.427040406502918</c:v>
                </c:pt>
                <c:pt idx="5">
                  <c:v>46.020153805776268</c:v>
                </c:pt>
                <c:pt idx="6">
                  <c:v>51.273913752443335</c:v>
                </c:pt>
                <c:pt idx="7">
                  <c:v>66.911331149580505</c:v>
                </c:pt>
                <c:pt idx="8">
                  <c:v>79.22976316872365</c:v>
                </c:pt>
                <c:pt idx="9">
                  <c:v>84.393108965064727</c:v>
                </c:pt>
                <c:pt idx="10">
                  <c:v>87.17146294545681</c:v>
                </c:pt>
                <c:pt idx="11">
                  <c:v>88.870623504814887</c:v>
                </c:pt>
                <c:pt idx="12">
                  <c:v>91.081715062570083</c:v>
                </c:pt>
                <c:pt idx="13">
                  <c:v>91.985849545236604</c:v>
                </c:pt>
                <c:pt idx="14">
                  <c:v>92.262959699975539</c:v>
                </c:pt>
                <c:pt idx="15">
                  <c:v>92.128723685869062</c:v>
                </c:pt>
                <c:pt idx="16">
                  <c:v>92.18148834456737</c:v>
                </c:pt>
                <c:pt idx="17">
                  <c:v>92.165159395687482</c:v>
                </c:pt>
                <c:pt idx="18">
                  <c:v>92.100451911459459</c:v>
                </c:pt>
                <c:pt idx="19">
                  <c:v>92.000682214294031</c:v>
                </c:pt>
                <c:pt idx="20">
                  <c:v>91.874798961699355</c:v>
                </c:pt>
                <c:pt idx="21">
                  <c:v>91.729036983070799</c:v>
                </c:pt>
                <c:pt idx="22">
                  <c:v>91.567872556035795</c:v>
                </c:pt>
                <c:pt idx="23">
                  <c:v>91.394601722712181</c:v>
                </c:pt>
                <c:pt idx="24">
                  <c:v>91.211704479937509</c:v>
                </c:pt>
                <c:pt idx="25">
                  <c:v>91.02108196262688</c:v>
                </c:pt>
                <c:pt idx="26">
                  <c:v>90.824215455732073</c:v>
                </c:pt>
                <c:pt idx="27">
                  <c:v>90.622275727425446</c:v>
                </c:pt>
                <c:pt idx="28">
                  <c:v>90.494100004646981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4672"/>
        <c:axId val="56370304"/>
      </c:scatterChart>
      <c:valAx>
        <c:axId val="562046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70304"/>
        <c:crosses val="autoZero"/>
        <c:crossBetween val="midCat"/>
      </c:valAx>
      <c:valAx>
        <c:axId val="56370304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04672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2368250158239E-2"/>
          <c:y val="7.0422632073382577E-2"/>
          <c:w val="0.88552334136176436"/>
          <c:h val="0.8619730165782028"/>
        </c:manualLayout>
      </c:layout>
      <c:scatterChart>
        <c:scatterStyle val="smoothMarker"/>
        <c:varyColors val="0"/>
        <c:ser>
          <c:idx val="3"/>
          <c:order val="0"/>
          <c:tx>
            <c:v>T(s) Gain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12.714299230457225</c:v>
                </c:pt>
                <c:pt idx="1">
                  <c:v>12.714190206603051</c:v>
                </c:pt>
                <c:pt idx="2">
                  <c:v>12.71407066745877</c:v>
                </c:pt>
                <c:pt idx="3">
                  <c:v>12.713939599161906</c:v>
                </c:pt>
                <c:pt idx="4">
                  <c:v>12.713795890162487</c:v>
                </c:pt>
                <c:pt idx="5">
                  <c:v>12.713638321824286</c:v>
                </c:pt>
                <c:pt idx="6">
                  <c:v>12.713465558124621</c:v>
                </c:pt>
                <c:pt idx="7">
                  <c:v>12.713276134365831</c:v>
                </c:pt>
                <c:pt idx="8">
                  <c:v>12.713068444806899</c:v>
                </c:pt>
                <c:pt idx="9">
                  <c:v>12.712840729109164</c:v>
                </c:pt>
                <c:pt idx="10">
                  <c:v>12.712591057486096</c:v>
                </c:pt>
                <c:pt idx="11">
                  <c:v>12.712317314433738</c:v>
                </c:pt>
                <c:pt idx="12">
                  <c:v>12.712017180906372</c:v>
                </c:pt>
                <c:pt idx="13">
                  <c:v>12.711688114792235</c:v>
                </c:pt>
                <c:pt idx="14">
                  <c:v>12.711327329527911</c:v>
                </c:pt>
                <c:pt idx="15">
                  <c:v>12.710931770676934</c:v>
                </c:pt>
                <c:pt idx="16">
                  <c:v>12.710498090281517</c:v>
                </c:pt>
                <c:pt idx="17">
                  <c:v>12.710022618779387</c:v>
                </c:pt>
                <c:pt idx="18">
                  <c:v>12.709501334258285</c:v>
                </c:pt>
                <c:pt idx="19">
                  <c:v>12.708929828801342</c:v>
                </c:pt>
                <c:pt idx="20">
                  <c:v>12.708303271653708</c:v>
                </c:pt>
                <c:pt idx="21">
                  <c:v>12.707616368917682</c:v>
                </c:pt>
                <c:pt idx="22">
                  <c:v>12.706863319457595</c:v>
                </c:pt>
                <c:pt idx="23">
                  <c:v>12.706037766669347</c:v>
                </c:pt>
                <c:pt idx="24">
                  <c:v>12.705132745738027</c:v>
                </c:pt>
                <c:pt idx="25">
                  <c:v>12.704140625977187</c:v>
                </c:pt>
                <c:pt idx="26">
                  <c:v>12.703053047810782</c:v>
                </c:pt>
                <c:pt idx="27">
                  <c:v>12.701860853919303</c:v>
                </c:pt>
                <c:pt idx="28">
                  <c:v>12.700554014037087</c:v>
                </c:pt>
                <c:pt idx="29">
                  <c:v>12.699121542848244</c:v>
                </c:pt>
                <c:pt idx="30">
                  <c:v>12.69755141038279</c:v>
                </c:pt>
                <c:pt idx="31">
                  <c:v>12.695830444275163</c:v>
                </c:pt>
                <c:pt idx="32">
                  <c:v>12.693944223201045</c:v>
                </c:pt>
                <c:pt idx="33">
                  <c:v>12.691876960759338</c:v>
                </c:pt>
                <c:pt idx="34">
                  <c:v>12.689611379022661</c:v>
                </c:pt>
                <c:pt idx="35">
                  <c:v>12.68712857093184</c:v>
                </c:pt>
                <c:pt idx="36">
                  <c:v>12.684407850660048</c:v>
                </c:pt>
                <c:pt idx="37">
                  <c:v>12.681426591032674</c:v>
                </c:pt>
                <c:pt idx="38">
                  <c:v>12.678160047044981</c:v>
                </c:pt>
                <c:pt idx="39">
                  <c:v>12.674581164481358</c:v>
                </c:pt>
                <c:pt idx="40">
                  <c:v>12.670660372613083</c:v>
                </c:pt>
                <c:pt idx="41">
                  <c:v>12.666365359928571</c:v>
                </c:pt>
                <c:pt idx="42">
                  <c:v>12.661660831840969</c:v>
                </c:pt>
                <c:pt idx="43">
                  <c:v>12.656508249325251</c:v>
                </c:pt>
                <c:pt idx="44">
                  <c:v>12.650865547463169</c:v>
                </c:pt>
                <c:pt idx="45">
                  <c:v>12.644686832924787</c:v>
                </c:pt>
                <c:pt idx="46">
                  <c:v>12.637922059494901</c:v>
                </c:pt>
                <c:pt idx="47">
                  <c:v>12.630516680873898</c:v>
                </c:pt>
                <c:pt idx="48">
                  <c:v>12.62241128014195</c:v>
                </c:pt>
                <c:pt idx="49">
                  <c:v>12.61354117549034</c:v>
                </c:pt>
                <c:pt idx="50">
                  <c:v>12.603836002106794</c:v>
                </c:pt>
                <c:pt idx="51">
                  <c:v>12.593219270448287</c:v>
                </c:pt>
                <c:pt idx="52">
                  <c:v>12.581607901576126</c:v>
                </c:pt>
                <c:pt idx="53">
                  <c:v>12.568911740766112</c:v>
                </c:pt>
                <c:pt idx="54">
                  <c:v>12.555033051249954</c:v>
                </c:pt>
                <c:pt idx="55">
                  <c:v>12.539865990726149</c:v>
                </c:pt>
                <c:pt idx="56">
                  <c:v>12.523296074186161</c:v>
                </c:pt>
                <c:pt idx="57">
                  <c:v>12.505199627672425</c:v>
                </c:pt>
                <c:pt idx="58">
                  <c:v>12.485443238811085</c:v>
                </c:pt>
                <c:pt idx="59">
                  <c:v>12.46388321136248</c:v>
                </c:pt>
                <c:pt idx="60">
                  <c:v>12.440365032604353</c:v>
                </c:pt>
                <c:pt idx="61">
                  <c:v>12.414722864099891</c:v>
                </c:pt>
                <c:pt idx="62">
                  <c:v>12.386779068299534</c:v>
                </c:pt>
                <c:pt idx="63">
                  <c:v>12.356343785444732</c:v>
                </c:pt>
                <c:pt idx="64">
                  <c:v>12.323214577355335</c:v>
                </c:pt>
                <c:pt idx="65">
                  <c:v>12.287176156817896</c:v>
                </c:pt>
                <c:pt idx="66">
                  <c:v>12.248000223386772</c:v>
                </c:pt>
                <c:pt idx="67">
                  <c:v>12.205445428339651</c:v>
                </c:pt>
                <c:pt idx="68">
                  <c:v>12.159257493188703</c:v>
                </c:pt>
                <c:pt idx="69">
                  <c:v>12.109169507356485</c:v>
                </c:pt>
                <c:pt idx="70">
                  <c:v>12.054902431229921</c:v>
                </c:pt>
                <c:pt idx="71">
                  <c:v>11.996165830582301</c:v>
                </c:pt>
                <c:pt idx="72">
                  <c:v>11.93265886710506</c:v>
                </c:pt>
                <c:pt idx="73">
                  <c:v>11.864071567299717</c:v>
                </c:pt>
                <c:pt idx="74">
                  <c:v>11.790086388043088</c:v>
                </c:pt>
                <c:pt idx="75">
                  <c:v>11.71038009160581</c:v>
                </c:pt>
                <c:pt idx="76">
                  <c:v>11.624625935654958</c:v>
                </c:pt>
                <c:pt idx="77">
                  <c:v>11.532496174809225</c:v>
                </c:pt>
                <c:pt idx="78">
                  <c:v>11.433664859727187</c:v>
                </c:pt>
                <c:pt idx="79">
                  <c:v>11.327810907736449</c:v>
                </c:pt>
                <c:pt idx="80">
                  <c:v>11.214621406046559</c:v>
                </c:pt>
                <c:pt idx="81">
                  <c:v>11.093795095184223</c:v>
                </c:pt>
                <c:pt idx="82">
                  <c:v>10.965045967143812</c:v>
                </c:pt>
                <c:pt idx="83">
                  <c:v>10.828106900689559</c:v>
                </c:pt>
                <c:pt idx="84">
                  <c:v>10.68273324616511</c:v>
                </c:pt>
                <c:pt idx="85">
                  <c:v>10.528706264961832</c:v>
                </c:pt>
                <c:pt idx="86">
                  <c:v>10.365836325282618</c:v>
                </c:pt>
                <c:pt idx="87">
                  <c:v>10.19396575666542</c:v>
                </c:pt>
                <c:pt idx="88">
                  <c:v>10.012971271274862</c:v>
                </c:pt>
                <c:pt idx="89">
                  <c:v>9.8227658703249503</c:v>
                </c:pt>
                <c:pt idx="90">
                  <c:v>9.6233001688299638</c:v>
                </c:pt>
                <c:pt idx="91">
                  <c:v>9.4145630905597564</c:v>
                </c:pt>
                <c:pt idx="92">
                  <c:v>9.1965819065836492</c:v>
                </c:pt>
                <c:pt idx="93">
                  <c:v>8.9694216138713241</c:v>
                </c:pt>
                <c:pt idx="94">
                  <c:v>8.733183673708627</c:v>
                </c:pt>
                <c:pt idx="95">
                  <c:v>8.4880041517294202</c:v>
                </c:pt>
                <c:pt idx="96">
                  <c:v>8.2340513208971462</c:v>
                </c:pt>
                <c:pt idx="97">
                  <c:v>7.9715228046967699</c:v>
                </c:pt>
                <c:pt idx="98">
                  <c:v>7.700642349362564</c:v>
                </c:pt>
                <c:pt idx="99">
                  <c:v>7.4216563207793618</c:v>
                </c:pt>
                <c:pt idx="100">
                  <c:v>7.1348300237205624</c:v>
                </c:pt>
                <c:pt idx="101">
                  <c:v>6.8404439386368132</c:v>
                </c:pt>
                <c:pt idx="102">
                  <c:v>6.538789964873029</c:v>
                </c:pt>
                <c:pt idx="103">
                  <c:v>6.2301677497432637</c:v>
                </c:pt>
                <c:pt idx="104">
                  <c:v>5.9148811712230103</c:v>
                </c:pt>
                <c:pt idx="105">
                  <c:v>5.593235029021141</c:v>
                </c:pt>
                <c:pt idx="106">
                  <c:v>5.2655319853249232</c:v>
                </c:pt>
                <c:pt idx="107">
                  <c:v>4.9320697833058063</c:v>
                </c:pt>
                <c:pt idx="108">
                  <c:v>4.5931387591234927</c:v>
                </c:pt>
                <c:pt idx="109">
                  <c:v>4.2490196521166217</c:v>
                </c:pt>
                <c:pt idx="110">
                  <c:v>3.8999817083860151</c:v>
                </c:pt>
                <c:pt idx="111">
                  <c:v>3.5462810652086709</c:v>
                </c:pt>
                <c:pt idx="112">
                  <c:v>3.1881593976705451</c:v>
                </c:pt>
                <c:pt idx="113">
                  <c:v>2.8258428045098412</c:v>
                </c:pt>
                <c:pt idx="114">
                  <c:v>2.4595409072525043</c:v>
                </c:pt>
                <c:pt idx="115">
                  <c:v>2.0894461351385392</c:v>
                </c:pt>
                <c:pt idx="116">
                  <c:v>1.7157331678438636</c:v>
                </c:pt>
                <c:pt idx="117">
                  <c:v>1.3385585084211371</c:v>
                </c:pt>
                <c:pt idx="118">
                  <c:v>0.95806015998462446</c:v>
                </c:pt>
                <c:pt idx="119">
                  <c:v>0.57435738129857872</c:v>
                </c:pt>
                <c:pt idx="120">
                  <c:v>0.18755049842264854</c:v>
                </c:pt>
                <c:pt idx="121">
                  <c:v>-0.20227924819452531</c:v>
                </c:pt>
                <c:pt idx="122">
                  <c:v>-0.59506983940322788</c:v>
                </c:pt>
                <c:pt idx="123">
                  <c:v>-0.99077861160251435</c:v>
                </c:pt>
                <c:pt idx="124">
                  <c:v>-1.389382402868057</c:v>
                </c:pt>
                <c:pt idx="125">
                  <c:v>-1.7908777218141079</c:v>
                </c:pt>
                <c:pt idx="126">
                  <c:v>-2.1952809476157715</c:v>
                </c:pt>
                <c:pt idx="127">
                  <c:v>-2.60262856720448</c:v>
                </c:pt>
                <c:pt idx="128">
                  <c:v>-3.0129774532538796</c:v>
                </c:pt>
                <c:pt idx="129">
                  <c:v>-3.426405184161224</c:v>
                </c:pt>
                <c:pt idx="130">
                  <c:v>-3.8430104047969822</c:v>
                </c:pt>
                <c:pt idx="131">
                  <c:v>-4.2629132243005694</c:v>
                </c:pt>
                <c:pt idx="132">
                  <c:v>-4.686255644631153</c:v>
                </c:pt>
                <c:pt idx="133">
                  <c:v>-5.1132020109188243</c:v>
                </c:pt>
                <c:pt idx="134">
                  <c:v>-5.5439394718891162</c:v>
                </c:pt>
                <c:pt idx="135">
                  <c:v>-5.97867843575888</c:v>
                </c:pt>
                <c:pt idx="136">
                  <c:v>-6.4176530040362767</c:v>
                </c:pt>
                <c:pt idx="137">
                  <c:v>-6.8611213626318506</c:v>
                </c:pt>
                <c:pt idx="138">
                  <c:v>-7.309366106665256</c:v>
                </c:pt>
                <c:pt idx="139">
                  <c:v>-7.762694472401936</c:v>
                </c:pt>
                <c:pt idx="140">
                  <c:v>-8.2214384469886248</c:v>
                </c:pt>
                <c:pt idx="141">
                  <c:v>-8.685954724209191</c:v>
                </c:pt>
                <c:pt idx="142">
                  <c:v>-9.1566244725160892</c:v>
                </c:pt>
                <c:pt idx="143">
                  <c:v>-9.6338528802932153</c:v>
                </c:pt>
                <c:pt idx="144">
                  <c:v>-10.118068442882876</c:v>
                </c:pt>
                <c:pt idx="145">
                  <c:v>-10.60972195657838</c:v>
                </c:pt>
                <c:pt idx="146">
                  <c:v>-11.109285186754354</c:v>
                </c:pt>
                <c:pt idx="147">
                  <c:v>-11.617249180771672</c:v>
                </c:pt>
                <c:pt idx="148">
                  <c:v>-12.134122201399361</c:v>
                </c:pt>
                <c:pt idx="149">
                  <c:v>-12.660427263314842</c:v>
                </c:pt>
                <c:pt idx="150">
                  <c:v>-13.196699263775375</c:v>
                </c:pt>
                <c:pt idx="151">
                  <c:v>-13.743481708657059</c:v>
                </c:pt>
                <c:pt idx="152">
                  <c:v>-14.301323046490371</c:v>
                </c:pt>
                <c:pt idx="153">
                  <c:v>-14.870772635489011</c:v>
                </c:pt>
                <c:pt idx="154">
                  <c:v>-15.452376381357457</c:v>
                </c:pt>
                <c:pt idx="155">
                  <c:v>-16.046672096251172</c:v>
                </c:pt>
                <c:pt idx="156">
                  <c:v>-16.654184640982447</c:v>
                </c:pt>
                <c:pt idx="157">
                  <c:v>-17.275420922710289</c:v>
                </c:pt>
                <c:pt idx="158">
                  <c:v>-17.910864828317695</c:v>
                </c:pt>
                <c:pt idx="159">
                  <c:v>-18.560972178942624</c:v>
                </c:pt>
                <c:pt idx="160">
                  <c:v>-19.226165793388759</c:v>
                </c:pt>
                <c:pt idx="161">
                  <c:v>-19.906830747298415</c:v>
                </c:pt>
                <c:pt idx="162">
                  <c:v>-20.603309911188362</c:v>
                </c:pt>
                <c:pt idx="163">
                  <c:v>-21.315899844091241</c:v>
                </c:pt>
                <c:pt idx="164">
                  <c:v>-22.044847111179884</c:v>
                </c:pt>
                <c:pt idx="165">
                  <c:v>-22.790345084009651</c:v>
                </c:pt>
                <c:pt idx="166">
                  <c:v>-23.552531271560071</c:v>
                </c:pt>
                <c:pt idx="167">
                  <c:v>-24.331485219634533</c:v>
                </c:pt>
                <c:pt idx="168">
                  <c:v>-25.127227005818074</c:v>
                </c:pt>
                <c:pt idx="169">
                  <c:v>-25.939716347256962</c:v>
                </c:pt>
                <c:pt idx="170">
                  <c:v>-26.768852329050219</c:v>
                </c:pt>
                <c:pt idx="171">
                  <c:v>-27.614473751819819</c:v>
                </c:pt>
                <c:pt idx="172">
                  <c:v>-28.47636008784351</c:v>
                </c:pt>
                <c:pt idx="173">
                  <c:v>-29.354233025695066</c:v>
                </c:pt>
                <c:pt idx="174">
                  <c:v>-30.247758573526013</c:v>
                </c:pt>
                <c:pt idx="175">
                  <c:v>-31.156549680910729</c:v>
                </c:pt>
                <c:pt idx="176">
                  <c:v>-32.080169328816041</c:v>
                </c:pt>
                <c:pt idx="177">
                  <c:v>-33.018134027137606</c:v>
                </c:pt>
                <c:pt idx="178">
                  <c:v>-33.96991764996389</c:v>
                </c:pt>
                <c:pt idx="179">
                  <c:v>-34.934955530939334</c:v>
                </c:pt>
                <c:pt idx="180">
                  <c:v>-35.912648735463733</c:v>
                </c:pt>
                <c:pt idx="181">
                  <c:v>-36.902368423529822</c:v>
                </c:pt>
                <c:pt idx="182">
                  <c:v>-37.903460217162632</c:v>
                </c:pt>
                <c:pt idx="183">
                  <c:v>-38.915248489815703</c:v>
                </c:pt>
                <c:pt idx="184">
                  <c:v>-39.937040501625646</c:v>
                </c:pt>
                <c:pt idx="185">
                  <c:v>-40.968130313806853</c:v>
                </c:pt>
                <c:pt idx="186">
                  <c:v>-42.007802427170724</c:v>
                </c:pt>
                <c:pt idx="187">
                  <c:v>-43.055335103160317</c:v>
                </c:pt>
                <c:pt idx="188">
                  <c:v>-44.110003340189508</c:v>
                </c:pt>
                <c:pt idx="189">
                  <c:v>-45.171081492791643</c:v>
                </c:pt>
                <c:pt idx="190">
                  <c:v>-46.237845535456337</c:v>
                </c:pt>
                <c:pt idx="191">
                  <c:v>-47.309574986517482</c:v>
                </c:pt>
                <c:pt idx="192">
                  <c:v>-48.385554519612803</c:v>
                </c:pt>
                <c:pt idx="193">
                  <c:v>-49.465075300715327</c:v>
                </c:pt>
                <c:pt idx="194">
                  <c:v>-50.547436097329751</c:v>
                </c:pt>
                <c:pt idx="195">
                  <c:v>-51.631944212994881</c:v>
                </c:pt>
                <c:pt idx="196">
                  <c:v>-52.717916304671313</c:v>
                </c:pt>
                <c:pt idx="197">
                  <c:v>-53.804679142874548</c:v>
                </c:pt>
                <c:pt idx="198">
                  <c:v>-54.891570374544358</c:v>
                </c:pt>
                <c:pt idx="199">
                  <c:v>-55.977939346603961</c:v>
                </c:pt>
                <c:pt idx="200">
                  <c:v>-57.063148043982963</c:v>
                </c:pt>
              </c:numCache>
            </c:numRef>
          </c:yVal>
          <c:smooth val="1"/>
        </c:ser>
        <c:ser>
          <c:idx val="0"/>
          <c:order val="1"/>
          <c:tx>
            <c:v>Ti(s) Gain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Compensation!$Y$64:$Y$264</c:f>
              <c:numCache>
                <c:formatCode>General</c:formatCode>
                <c:ptCount val="201"/>
                <c:pt idx="0">
                  <c:v>0.65627564553096907</c:v>
                </c:pt>
                <c:pt idx="1">
                  <c:v>0.65673392444598788</c:v>
                </c:pt>
                <c:pt idx="2">
                  <c:v>0.65723637208165364</c:v>
                </c:pt>
                <c:pt idx="3">
                  <c:v>0.65778724062495209</c:v>
                </c:pt>
                <c:pt idx="4">
                  <c:v>0.65839119066323992</c:v>
                </c:pt>
                <c:pt idx="5">
                  <c:v>0.65905333021350487</c:v>
                </c:pt>
                <c:pt idx="6">
                  <c:v>0.65977925744385091</c:v>
                </c:pt>
                <c:pt idx="7">
                  <c:v>0.66057510742558712</c:v>
                </c:pt>
                <c:pt idx="8">
                  <c:v>0.6614476032887785</c:v>
                </c:pt>
                <c:pt idx="9">
                  <c:v>0.66240411218324091</c:v>
                </c:pt>
                <c:pt idx="10">
                  <c:v>0.66345270648361387</c:v>
                </c:pt>
                <c:pt idx="11">
                  <c:v>0.66460223071301072</c:v>
                </c:pt>
                <c:pt idx="12">
                  <c:v>0.66586237469880627</c:v>
                </c:pt>
                <c:pt idx="13">
                  <c:v>0.66724375351889187</c:v>
                </c:pt>
                <c:pt idx="14">
                  <c:v>0.66875799483915188</c:v>
                </c:pt>
                <c:pt idx="15">
                  <c:v>0.6704178342907039</c:v>
                </c:pt>
                <c:pt idx="16">
                  <c:v>0.67223721958677007</c:v>
                </c:pt>
                <c:pt idx="17">
                  <c:v>0.67423142413017145</c:v>
                </c:pt>
                <c:pt idx="18">
                  <c:v>0.67641717091804099</c:v>
                </c:pt>
                <c:pt idx="19">
                  <c:v>0.67881276760402853</c:v>
                </c:pt>
                <c:pt idx="20">
                  <c:v>0.68143825364085497</c:v>
                </c:pt>
                <c:pt idx="21">
                  <c:v>0.68431556047873809</c:v>
                </c:pt>
                <c:pt idx="22">
                  <c:v>0.68746868585721344</c:v>
                </c:pt>
                <c:pt idx="23">
                  <c:v>0.69092388328404708</c:v>
                </c:pt>
                <c:pt idx="24">
                  <c:v>0.69470986784788713</c:v>
                </c:pt>
                <c:pt idx="25">
                  <c:v>0.69885803956497283</c:v>
                </c:pt>
                <c:pt idx="26">
                  <c:v>0.70340272549949856</c:v>
                </c:pt>
                <c:pt idx="27">
                  <c:v>0.70838144193834551</c:v>
                </c:pt>
                <c:pt idx="28">
                  <c:v>0.71383517791938367</c:v>
                </c:pt>
                <c:pt idx="29">
                  <c:v>0.71980870142461462</c:v>
                </c:pt>
                <c:pt idx="30">
                  <c:v>0.72635088953767801</c:v>
                </c:pt>
                <c:pt idx="31">
                  <c:v>0.73351508382704322</c:v>
                </c:pt>
                <c:pt idx="32">
                  <c:v>0.74135947215337461</c:v>
                </c:pt>
                <c:pt idx="33">
                  <c:v>0.74994749799493832</c:v>
                </c:pt>
                <c:pt idx="34">
                  <c:v>0.7593482982353208</c:v>
                </c:pt>
                <c:pt idx="35">
                  <c:v>0.76963717015582844</c:v>
                </c:pt>
                <c:pt idx="36">
                  <c:v>0.78089606811125001</c:v>
                </c:pt>
                <c:pt idx="37">
                  <c:v>0.79321413002245977</c:v>
                </c:pt>
                <c:pt idx="38">
                  <c:v>0.8066882333960308</c:v>
                </c:pt>
                <c:pt idx="39">
                  <c:v>0.82142358005350757</c:v>
                </c:pt>
                <c:pt idx="40">
                  <c:v>0.83753430811442031</c:v>
                </c:pt>
                <c:pt idx="41">
                  <c:v>0.85514412901740722</c:v>
                </c:pt>
                <c:pt idx="42">
                  <c:v>0.87438698646000013</c:v>
                </c:pt>
                <c:pt idx="43">
                  <c:v>0.89540773309674671</c:v>
                </c:pt>
                <c:pt idx="44">
                  <c:v>0.91836281962986122</c:v>
                </c:pt>
                <c:pt idx="45">
                  <c:v>0.94342098956802567</c:v>
                </c:pt>
                <c:pt idx="46">
                  <c:v>0.97076397141684645</c:v>
                </c:pt>
                <c:pt idx="47">
                  <c:v>1.0005871583989339</c:v>
                </c:pt>
                <c:pt idx="48">
                  <c:v>1.0331002640266558</c:v>
                </c:pt>
                <c:pt idx="49">
                  <c:v>1.0685279399787921</c:v>
                </c:pt>
                <c:pt idx="50">
                  <c:v>1.1071103408303826</c:v>
                </c:pt>
                <c:pt idx="51">
                  <c:v>1.1491036183278394</c:v>
                </c:pt>
                <c:pt idx="52">
                  <c:v>1.194780326173136</c:v>
                </c:pt>
                <c:pt idx="53">
                  <c:v>1.2444297148171897</c:v>
                </c:pt>
                <c:pt idx="54">
                  <c:v>1.2983578947035683</c:v>
                </c:pt>
                <c:pt idx="55">
                  <c:v>1.356887845931227</c:v>
                </c:pt>
                <c:pt idx="56">
                  <c:v>1.4203592526109912</c:v>
                </c:pt>
                <c:pt idx="57">
                  <c:v>1.4891281415081379</c:v>
                </c:pt>
                <c:pt idx="58">
                  <c:v>1.5635663071009986</c:v>
                </c:pt>
                <c:pt idx="59">
                  <c:v>1.6440605091835769</c:v>
                </c:pt>
                <c:pt idx="60">
                  <c:v>1.7310114347911465</c:v>
                </c:pt>
                <c:pt idx="61">
                  <c:v>1.8248324236899913</c:v>
                </c:pt>
                <c:pt idx="62">
                  <c:v>1.9259479660314607</c:v>
                </c:pt>
                <c:pt idx="63">
                  <c:v>2.0347919920253563</c:v>
                </c:pt>
                <c:pt idx="64">
                  <c:v>2.1518059864984589</c:v>
                </c:pt>
                <c:pt idx="65">
                  <c:v>2.2774369757150765</c:v>
                </c:pt>
                <c:pt idx="66">
                  <c:v>2.4121354494232059</c:v>
                </c:pt>
                <c:pt idx="67">
                  <c:v>2.5563532972021563</c:v>
                </c:pt>
                <c:pt idx="68">
                  <c:v>2.7105418541368826</c:v>
                </c:pt>
                <c:pt idx="69">
                  <c:v>2.875150165892121</c:v>
                </c:pt>
                <c:pt idx="70">
                  <c:v>3.0506235966280402</c:v>
                </c:pt>
                <c:pt idx="71">
                  <c:v>3.2374029142148348</c:v>
                </c:pt>
                <c:pt idx="72">
                  <c:v>3.4359239953477543</c:v>
                </c:pt>
                <c:pt idx="73">
                  <c:v>3.646618298192188</c:v>
                </c:pt>
                <c:pt idx="74">
                  <c:v>3.8699142522453638</c:v>
                </c:pt>
                <c:pt idx="75">
                  <c:v>4.1062397147366267</c:v>
                </c:pt>
                <c:pt idx="76">
                  <c:v>4.3560256412094303</c:v>
                </c:pt>
                <c:pt idx="77">
                  <c:v>4.6197111164839164</c:v>
                </c:pt>
                <c:pt idx="78">
                  <c:v>4.8977498931183048</c:v>
                </c:pt>
                <c:pt idx="79">
                  <c:v>5.1906185903150606</c:v>
                </c:pt>
                <c:pt idx="80">
                  <c:v>5.4988267199711904</c:v>
                </c:pt>
                <c:pt idx="81">
                  <c:v>5.8229287316616771</c:v>
                </c:pt>
                <c:pt idx="82">
                  <c:v>6.1635383086144504</c:v>
                </c:pt>
                <c:pt idx="83">
                  <c:v>6.521345206503991</c:v>
                </c:pt>
                <c:pt idx="84">
                  <c:v>6.8971350110946439</c:v>
                </c:pt>
                <c:pt idx="85">
                  <c:v>7.2918123051086683</c:v>
                </c:pt>
                <c:pt idx="86">
                  <c:v>7.7064278858161694</c:v>
                </c:pt>
                <c:pt idx="87">
                  <c:v>8.1422108702934786</c:v>
                </c:pt>
                <c:pt idx="88">
                  <c:v>8.6006067730037863</c:v>
                </c:pt>
                <c:pt idx="89">
                  <c:v>9.083322946822399</c:v>
                </c:pt>
                <c:pt idx="90">
                  <c:v>9.5923831442239411</c:v>
                </c:pt>
                <c:pt idx="91">
                  <c:v>10.130193362997954</c:v>
                </c:pt>
                <c:pt idx="92">
                  <c:v>10.699621530291804</c:v>
                </c:pt>
                <c:pt idx="93">
                  <c:v>11.304093788280356</c:v>
                </c:pt>
                <c:pt idx="94">
                  <c:v>11.947709779647347</c:v>
                </c:pt>
                <c:pt idx="95">
                  <c:v>12.635377463791194</c:v>
                </c:pt>
                <c:pt idx="96">
                  <c:v>13.372962470323738</c:v>
                </c:pt>
                <c:pt idx="97">
                  <c:v>14.167432794803416</c:v>
                </c:pt>
                <c:pt idx="98">
                  <c:v>15.026944941331323</c:v>
                </c:pt>
                <c:pt idx="99">
                  <c:v>15.960734207425844</c:v>
                </c:pt>
                <c:pt idx="100">
                  <c:v>16.978471775853858</c:v>
                </c:pt>
                <c:pt idx="101">
                  <c:v>18.088272770717953</c:v>
                </c:pt>
                <c:pt idx="102">
                  <c:v>19.291421335707717</c:v>
                </c:pt>
                <c:pt idx="103">
                  <c:v>20.56950336260963</c:v>
                </c:pt>
                <c:pt idx="104">
                  <c:v>21.856170434515093</c:v>
                </c:pt>
                <c:pt idx="105">
                  <c:v>22.989425098143855</c:v>
                </c:pt>
                <c:pt idx="106">
                  <c:v>23.685910613417455</c:v>
                </c:pt>
                <c:pt idx="107">
                  <c:v>23.670133897562447</c:v>
                </c:pt>
                <c:pt idx="108">
                  <c:v>22.93989365700028</c:v>
                </c:pt>
                <c:pt idx="109">
                  <c:v>21.768659965626004</c:v>
                </c:pt>
                <c:pt idx="110">
                  <c:v>20.440610776857056</c:v>
                </c:pt>
                <c:pt idx="111">
                  <c:v>19.118876294236284</c:v>
                </c:pt>
                <c:pt idx="112">
                  <c:v>17.870328716186251</c:v>
                </c:pt>
                <c:pt idx="113">
                  <c:v>16.713442817560185</c:v>
                </c:pt>
                <c:pt idx="114">
                  <c:v>15.64676520637809</c:v>
                </c:pt>
                <c:pt idx="115">
                  <c:v>14.661910941242027</c:v>
                </c:pt>
                <c:pt idx="116">
                  <c:v>13.74889641303827</c:v>
                </c:pt>
                <c:pt idx="117">
                  <c:v>12.898155558589963</c:v>
                </c:pt>
                <c:pt idx="118">
                  <c:v>12.101192746742228</c:v>
                </c:pt>
                <c:pt idx="119">
                  <c:v>11.350696695160972</c:v>
                </c:pt>
                <c:pt idx="120">
                  <c:v>10.640456345638841</c:v>
                </c:pt>
                <c:pt idx="121">
                  <c:v>9.9652175152966471</c:v>
                </c:pt>
                <c:pt idx="122">
                  <c:v>9.3205348623278148</c:v>
                </c:pt>
                <c:pt idx="123">
                  <c:v>8.702638636746947</c:v>
                </c:pt>
                <c:pt idx="124">
                  <c:v>8.1083213252652087</c:v>
                </c:pt>
                <c:pt idx="125">
                  <c:v>7.5348437023599022</c:v>
                </c:pt>
                <c:pt idx="126">
                  <c:v>6.9798578960063224</c:v>
                </c:pt>
                <c:pt idx="127">
                  <c:v>6.4413446901583171</c:v>
                </c:pt>
                <c:pt idx="128">
                  <c:v>5.9175624803967954</c:v>
                </c:pt>
                <c:pt idx="129">
                  <c:v>5.4070056760054772</c:v>
                </c:pt>
                <c:pt idx="130">
                  <c:v>4.9083707382684469</c:v>
                </c:pt>
                <c:pt idx="131">
                  <c:v>4.4205284007873695</c:v>
                </c:pt>
                <c:pt idx="132">
                  <c:v>3.9425009166020879</c:v>
                </c:pt>
                <c:pt idx="133">
                  <c:v>3.4734434200147639</c:v>
                </c:pt>
                <c:pt idx="134">
                  <c:v>3.0126286855878948</c:v>
                </c:pt>
                <c:pt idx="135">
                  <c:v>2.5594347214068289</c:v>
                </c:pt>
                <c:pt idx="136">
                  <c:v>2.1133347563695399</c:v>
                </c:pt>
                <c:pt idx="137">
                  <c:v>1.6738892786873731</c:v>
                </c:pt>
                <c:pt idx="138">
                  <c:v>1.2407398603562509</c:v>
                </c:pt>
                <c:pt idx="139">
                  <c:v>0.81360456421529981</c:v>
                </c:pt>
                <c:pt idx="140">
                  <c:v>0.39227477945313205</c:v>
                </c:pt>
                <c:pt idx="141">
                  <c:v>-2.3386629786230684E-2</c:v>
                </c:pt>
                <c:pt idx="142">
                  <c:v>-0.43344594831033889</c:v>
                </c:pt>
                <c:pt idx="143">
                  <c:v>-0.83789807056881449</c:v>
                </c:pt>
                <c:pt idx="144">
                  <c:v>-1.2366648494406129</c:v>
                </c:pt>
                <c:pt idx="145">
                  <c:v>-1.6295923804999801</c:v>
                </c:pt>
                <c:pt idx="146">
                  <c:v>-2.0164472755342477</c:v>
                </c:pt>
                <c:pt idx="147">
                  <c:v>-2.3969119977055438</c:v>
                </c:pt>
                <c:pt idx="148">
                  <c:v>-2.7705793640940977</c:v>
                </c:pt>
                <c:pt idx="149">
                  <c:v>-3.1369463723519697</c:v>
                </c:pt>
                <c:pt idx="150">
                  <c:v>-3.495407579916523</c:v>
                </c:pt>
                <c:pt idx="151">
                  <c:v>-3.8452483594064537</c:v>
                </c:pt>
                <c:pt idx="152">
                  <c:v>-4.1856384739998767</c:v>
                </c:pt>
                <c:pt idx="153">
                  <c:v>-4.5156265609341881</c:v>
                </c:pt>
                <c:pt idx="154">
                  <c:v>-4.8341362748584791</c:v>
                </c:pt>
                <c:pt idx="155">
                  <c:v>-5.1399650145807634</c:v>
                </c:pt>
                <c:pt idx="156">
                  <c:v>-5.4317863174082159</c:v>
                </c:pt>
                <c:pt idx="157">
                  <c:v>-5.7081571252445116</c:v>
                </c:pt>
                <c:pt idx="158">
                  <c:v>-5.9675311656863164</c:v>
                </c:pt>
                <c:pt idx="159">
                  <c:v>-6.2082796008020571</c:v>
                </c:pt>
                <c:pt idx="160">
                  <c:v>-6.4287198249872297</c:v>
                </c:pt>
                <c:pt idx="161">
                  <c:v>-6.6271527992258772</c:v>
                </c:pt>
                <c:pt idx="162">
                  <c:v>-6.8019085756092226</c:v>
                </c:pt>
                <c:pt idx="163">
                  <c:v>-6.951398720640146</c:v>
                </c:pt>
                <c:pt idx="164">
                  <c:v>-7.0741732760921785</c:v>
                </c:pt>
                <c:pt idx="165">
                  <c:v>-7.1689788534938597</c:v>
                </c:pt>
                <c:pt idx="166">
                  <c:v>-7.2348136430314067</c:v>
                </c:pt>
                <c:pt idx="167">
                  <c:v>-7.2709747404470804</c:v>
                </c:pt>
                <c:pt idx="168">
                  <c:v>-7.2770934206059223</c:v>
                </c:pt>
                <c:pt idx="169">
                  <c:v>-7.2531548728994455</c:v>
                </c:pt>
                <c:pt idx="170">
                  <c:v>-7.1995003774738766</c:v>
                </c:pt>
                <c:pt idx="171">
                  <c:v>-7.1168117178038486</c:v>
                </c:pt>
                <c:pt idx="172">
                  <c:v>-7.0060794783922384</c:v>
                </c:pt>
                <c:pt idx="173">
                  <c:v>-6.8685584406270674</c:v>
                </c:pt>
                <c:pt idx="174">
                  <c:v>-6.7057143148692422</c:v>
                </c:pt>
                <c:pt idx="175">
                  <c:v>-6.5191664160378506</c:v>
                </c:pt>
                <c:pt idx="176">
                  <c:v>-6.310630633244843</c:v>
                </c:pt>
                <c:pt idx="177">
                  <c:v>-6.081866307362306</c:v>
                </c:pt>
                <c:pt idx="178">
                  <c:v>-5.8346296195395642</c:v>
                </c:pt>
                <c:pt idx="179">
                  <c:v>-5.5706350153017672</c:v>
                </c:pt>
                <c:pt idx="180">
                  <c:v>-5.2915252072392871</c:v>
                </c:pt>
                <c:pt idx="181">
                  <c:v>-4.998849516031842</c:v>
                </c:pt>
                <c:pt idx="182">
                  <c:v>-4.6940497642328314</c:v>
                </c:pt>
                <c:pt idx="183">
                  <c:v>-4.3784526212723129</c:v>
                </c:pt>
                <c:pt idx="184">
                  <c:v>-4.0532671735364474</c:v>
                </c:pt>
                <c:pt idx="185">
                  <c:v>-3.7195865098680496</c:v>
                </c:pt>
                <c:pt idx="186">
                  <c:v>-3.3783922205164467</c:v>
                </c:pt>
                <c:pt idx="187">
                  <c:v>-3.030560864112033</c:v>
                </c:pt>
                <c:pt idx="188">
                  <c:v>-2.6768716308195781</c:v>
                </c:pt>
                <c:pt idx="189">
                  <c:v>-2.3180145990582797</c:v>
                </c:pt>
                <c:pt idx="190">
                  <c:v>-1.9545991354645089</c:v>
                </c:pt>
                <c:pt idx="191">
                  <c:v>-1.5871621171850256</c:v>
                </c:pt>
                <c:pt idx="192">
                  <c:v>-1.2161757606705916</c:v>
                </c:pt>
                <c:pt idx="193">
                  <c:v>-0.84205492323037856</c:v>
                </c:pt>
                <c:pt idx="194">
                  <c:v>-0.46516380545050007</c:v>
                </c:pt>
                <c:pt idx="195">
                  <c:v>-8.5822027522472408E-2</c:v>
                </c:pt>
                <c:pt idx="196">
                  <c:v>0.29568991612295659</c:v>
                </c:pt>
                <c:pt idx="197">
                  <c:v>0.67912579866910594</c:v>
                </c:pt>
                <c:pt idx="198">
                  <c:v>1.0642693611950986</c:v>
                </c:pt>
                <c:pt idx="199">
                  <c:v>1.4509305262834027</c:v>
                </c:pt>
                <c:pt idx="200">
                  <c:v>1.8389420769435183</c:v>
                </c:pt>
              </c:numCache>
            </c:numRef>
          </c:yVal>
          <c:smooth val="1"/>
        </c:ser>
        <c:ser>
          <c:idx val="4"/>
          <c:order val="2"/>
          <c:tx>
            <c:v>Tv(s) Gain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Compensation!$AC$64:$AC$264</c:f>
              <c:numCache>
                <c:formatCode>General</c:formatCode>
                <c:ptCount val="201"/>
                <c:pt idx="0">
                  <c:v>19.068353276464954</c:v>
                </c:pt>
                <c:pt idx="1">
                  <c:v>19.068397170132684</c:v>
                </c:pt>
                <c:pt idx="2">
                  <c:v>19.068445298811881</c:v>
                </c:pt>
                <c:pt idx="3">
                  <c:v>19.068498071135132</c:v>
                </c:pt>
                <c:pt idx="4">
                  <c:v>19.068555935168725</c:v>
                </c:pt>
                <c:pt idx="5">
                  <c:v>19.068619382218664</c:v>
                </c:pt>
                <c:pt idx="6">
                  <c:v>19.068688951005239</c:v>
                </c:pt>
                <c:pt idx="7">
                  <c:v>19.068765232239265</c:v>
                </c:pt>
                <c:pt idx="8">
                  <c:v>19.068848873642416</c:v>
                </c:pt>
                <c:pt idx="9">
                  <c:v>19.06894058545069</c:v>
                </c:pt>
                <c:pt idx="10">
                  <c:v>19.069041146450651</c:v>
                </c:pt>
                <c:pt idx="11">
                  <c:v>19.069151410599257</c:v>
                </c:pt>
                <c:pt idx="12">
                  <c:v>19.069272314282387</c:v>
                </c:pt>
                <c:pt idx="13">
                  <c:v>19.069404884276075</c:v>
                </c:pt>
                <c:pt idx="14">
                  <c:v>19.069550246477259</c:v>
                </c:pt>
                <c:pt idx="15">
                  <c:v>19.069709635478556</c:v>
                </c:pt>
                <c:pt idx="16">
                  <c:v>19.069884405069491</c:v>
                </c:pt>
                <c:pt idx="17">
                  <c:v>19.070076039753843</c:v>
                </c:pt>
                <c:pt idx="18">
                  <c:v>19.070286167381632</c:v>
                </c:pt>
                <c:pt idx="19">
                  <c:v>19.070516573003641</c:v>
                </c:pt>
                <c:pt idx="20">
                  <c:v>19.070769214068303</c:v>
                </c:pt>
                <c:pt idx="21">
                  <c:v>19.071046237090524</c:v>
                </c:pt>
                <c:pt idx="22">
                  <c:v>19.071349995935748</c:v>
                </c:pt>
                <c:pt idx="23">
                  <c:v>19.071683071877715</c:v>
                </c:pt>
                <c:pt idx="24">
                  <c:v>19.072048295601046</c:v>
                </c:pt>
                <c:pt idx="25">
                  <c:v>19.072448771339506</c:v>
                </c:pt>
                <c:pt idx="26">
                  <c:v>19.072887903359192</c:v>
                </c:pt>
                <c:pt idx="27">
                  <c:v>19.073369425014505</c:v>
                </c:pt>
                <c:pt idx="28">
                  <c:v>19.073897430629248</c:v>
                </c:pt>
                <c:pt idx="29">
                  <c:v>19.074476410481495</c:v>
                </c:pt>
                <c:pt idx="30">
                  <c:v>19.075111289194918</c:v>
                </c:pt>
                <c:pt idx="31">
                  <c:v>19.075807467872352</c:v>
                </c:pt>
                <c:pt idx="32">
                  <c:v>19.076570870341993</c:v>
                </c:pt>
                <c:pt idx="33">
                  <c:v>19.077407993920243</c:v>
                </c:pt>
                <c:pt idx="34">
                  <c:v>19.078325965139221</c:v>
                </c:pt>
                <c:pt idx="35">
                  <c:v>19.079332600932798</c:v>
                </c:pt>
                <c:pt idx="36">
                  <c:v>19.080436475821813</c:v>
                </c:pt>
                <c:pt idx="37">
                  <c:v>19.081646995698598</c:v>
                </c:pt>
                <c:pt idx="38">
                  <c:v>19.082974478871911</c:v>
                </c:pt>
                <c:pt idx="39">
                  <c:v>19.084430245099291</c:v>
                </c:pt>
                <c:pt idx="40">
                  <c:v>19.086026713413876</c:v>
                </c:pt>
                <c:pt idx="41">
                  <c:v>19.087777509635391</c:v>
                </c:pt>
                <c:pt idx="42">
                  <c:v>19.089697584548674</c:v>
                </c:pt>
                <c:pt idx="43">
                  <c:v>19.091803343840382</c:v>
                </c:pt>
                <c:pt idx="44">
                  <c:v>19.094112791000839</c:v>
                </c:pt>
                <c:pt idx="45">
                  <c:v>19.09664568452915</c:v>
                </c:pt>
                <c:pt idx="46">
                  <c:v>19.099423710927283</c:v>
                </c:pt>
                <c:pt idx="47">
                  <c:v>19.102470675133759</c:v>
                </c:pt>
                <c:pt idx="48">
                  <c:v>19.105812710234208</c:v>
                </c:pt>
                <c:pt idx="49">
                  <c:v>19.109478508491907</c:v>
                </c:pt>
                <c:pt idx="50">
                  <c:v>19.113499575981475</c:v>
                </c:pt>
                <c:pt idx="51">
                  <c:v>19.117910513371427</c:v>
                </c:pt>
                <c:pt idx="52">
                  <c:v>19.122749325705122</c:v>
                </c:pt>
                <c:pt idx="53">
                  <c:v>19.128057764374134</c:v>
                </c:pt>
                <c:pt idx="54">
                  <c:v>19.133881704863136</c:v>
                </c:pt>
                <c:pt idx="55">
                  <c:v>19.140271564299358</c:v>
                </c:pt>
                <c:pt idx="56">
                  <c:v>19.147282763340673</c:v>
                </c:pt>
                <c:pt idx="57">
                  <c:v>19.154976237529617</c:v>
                </c:pt>
                <c:pt idx="58">
                  <c:v>19.16341900390897</c:v>
                </c:pt>
                <c:pt idx="59">
                  <c:v>19.17268478947425</c:v>
                </c:pt>
                <c:pt idx="60">
                  <c:v>19.182854728939795</c:v>
                </c:pt>
                <c:pt idx="61">
                  <c:v>19.194018140338571</c:v>
                </c:pt>
                <c:pt idx="62">
                  <c:v>19.206273388196237</c:v>
                </c:pt>
                <c:pt idx="63">
                  <c:v>19.219728845443932</c:v>
                </c:pt>
                <c:pt idx="64">
                  <c:v>19.234503966906619</c:v>
                </c:pt>
                <c:pt idx="65">
                  <c:v>19.250730489169502</c:v>
                </c:pt>
                <c:pt idx="66">
                  <c:v>19.26855377395292</c:v>
                </c:pt>
                <c:pt idx="67">
                  <c:v>19.288134314879688</c:v>
                </c:pt>
                <c:pt idx="68">
                  <c:v>19.309649430804569</c:v>
                </c:pt>
                <c:pt idx="69">
                  <c:v>19.333295172791974</c:v>
                </c:pt>
                <c:pt idx="70">
                  <c:v>19.359288476536832</c:v>
                </c:pt>
                <c:pt idx="71">
                  <c:v>19.387869597685132</c:v>
                </c:pt>
                <c:pt idx="72">
                  <c:v>19.419304874364386</c:v>
                </c:pt>
                <c:pt idx="73">
                  <c:v>19.453889869553052</c:v>
                </c:pt>
                <c:pt idx="74">
                  <c:v>19.491952956065703</c:v>
                </c:pt>
                <c:pt idx="75">
                  <c:v>19.533859419358208</c:v>
                </c:pt>
                <c:pt idx="76">
                  <c:v>19.580016168647688</c:v>
                </c:pt>
                <c:pt idx="77">
                  <c:v>19.630877165731459</c:v>
                </c:pt>
                <c:pt idx="78">
                  <c:v>19.686949704338975</c:v>
                </c:pt>
                <c:pt idx="79">
                  <c:v>19.748801702078495</c:v>
                </c:pt>
                <c:pt idx="80">
                  <c:v>19.817070203636685</c:v>
                </c:pt>
                <c:pt idx="81">
                  <c:v>19.89247133989862</c:v>
                </c:pt>
                <c:pt idx="82">
                  <c:v>19.975812045719387</c:v>
                </c:pt>
                <c:pt idx="83">
                  <c:v>20.068003912610148</c:v>
                </c:pt>
                <c:pt idx="84">
                  <c:v>20.170079645951159</c:v>
                </c:pt>
                <c:pt idx="85">
                  <c:v>20.283212715024593</c:v>
                </c:pt>
                <c:pt idx="86">
                  <c:v>20.408740934956484</c:v>
                </c:pt>
                <c:pt idx="87">
                  <c:v>20.548194910592969</c:v>
                </c:pt>
                <c:pt idx="88">
                  <c:v>20.703332512022339</c:v>
                </c:pt>
                <c:pt idx="89">
                  <c:v>20.87618084726531</c:v>
                </c:pt>
                <c:pt idx="90">
                  <c:v>21.06908755083003</c:v>
                </c:pt>
                <c:pt idx="91">
                  <c:v>21.284783601200417</c:v>
                </c:pt>
                <c:pt idx="92">
                  <c:v>21.526460256410125</c:v>
                </c:pt>
                <c:pt idx="93">
                  <c:v>21.797862893590938</c:v>
                </c:pt>
                <c:pt idx="94">
                  <c:v>22.103404161631723</c:v>
                </c:pt>
                <c:pt idx="95">
                  <c:v>22.448296978609989</c:v>
                </c:pt>
                <c:pt idx="96">
                  <c:v>22.83870237278482</c:v>
                </c:pt>
                <c:pt idx="97">
                  <c:v>23.281872957503559</c:v>
                </c:pt>
                <c:pt idx="98">
                  <c:v>23.786238124933327</c:v>
                </c:pt>
                <c:pt idx="99">
                  <c:v>24.361293630756609</c:v>
                </c:pt>
                <c:pt idx="100">
                  <c:v>25.016958209059979</c:v>
                </c:pt>
                <c:pt idx="101">
                  <c:v>25.761581348280771</c:v>
                </c:pt>
                <c:pt idx="102">
                  <c:v>26.596668259669084</c:v>
                </c:pt>
                <c:pt idx="103">
                  <c:v>27.504012640653109</c:v>
                </c:pt>
                <c:pt idx="104">
                  <c:v>28.417460773148505</c:v>
                </c:pt>
                <c:pt idx="105">
                  <c:v>29.175197048526861</c:v>
                </c:pt>
                <c:pt idx="106">
                  <c:v>29.494034046612036</c:v>
                </c:pt>
                <c:pt idx="107">
                  <c:v>29.098635867273916</c:v>
                </c:pt>
                <c:pt idx="108">
                  <c:v>27.986946691234401</c:v>
                </c:pt>
                <c:pt idx="109">
                  <c:v>26.432570814062608</c:v>
                </c:pt>
                <c:pt idx="110">
                  <c:v>24.719809628015</c:v>
                </c:pt>
                <c:pt idx="111">
                  <c:v>23.011906465529634</c:v>
                </c:pt>
                <c:pt idx="112">
                  <c:v>21.375836810567126</c:v>
                </c:pt>
                <c:pt idx="113">
                  <c:v>19.8301693324266</c:v>
                </c:pt>
                <c:pt idx="114">
                  <c:v>18.373535573587496</c:v>
                </c:pt>
                <c:pt idx="115">
                  <c:v>16.997626971229856</c:v>
                </c:pt>
                <c:pt idx="116">
                  <c:v>15.692528110988002</c:v>
                </c:pt>
                <c:pt idx="117">
                  <c:v>14.448733276164772</c:v>
                </c:pt>
                <c:pt idx="118">
                  <c:v>13.257799628870888</c:v>
                </c:pt>
                <c:pt idx="119">
                  <c:v>12.112461377610337</c:v>
                </c:pt>
                <c:pt idx="120">
                  <c:v>11.006545855424141</c:v>
                </c:pt>
                <c:pt idx="121">
                  <c:v>9.9348303222119618</c:v>
                </c:pt>
                <c:pt idx="122">
                  <c:v>8.8928940258599489</c:v>
                </c:pt>
                <c:pt idx="123">
                  <c:v>7.8769849881926195</c:v>
                </c:pt>
                <c:pt idx="124">
                  <c:v>6.8839066198325947</c:v>
                </c:pt>
                <c:pt idx="125">
                  <c:v>5.9109236702217292</c:v>
                </c:pt>
                <c:pt idx="126">
                  <c:v>4.9556851144853056</c:v>
                </c:pt>
                <c:pt idx="127">
                  <c:v>4.0161611912656445</c:v>
                </c:pt>
                <c:pt idx="128">
                  <c:v>3.0905919985803179</c:v>
                </c:pt>
                <c:pt idx="129">
                  <c:v>2.1774454299633041</c:v>
                </c:pt>
                <c:pt idx="130">
                  <c:v>1.2753826277734608</c:v>
                </c:pt>
                <c:pt idx="131">
                  <c:v>0.38322948437452264</c:v>
                </c:pt>
                <c:pt idx="132">
                  <c:v>-0.50004698160768069</c:v>
                </c:pt>
                <c:pt idx="133">
                  <c:v>-1.3753583064231634</c:v>
                </c:pt>
                <c:pt idx="134">
                  <c:v>-2.2435110607342774</c:v>
                </c:pt>
                <c:pt idx="135">
                  <c:v>-3.1052207173276876</c:v>
                </c:pt>
                <c:pt idx="136">
                  <c:v>-3.9611233777480632</c:v>
                </c:pt>
                <c:pt idx="137">
                  <c:v>-4.8117857349782565</c:v>
                </c:pt>
                <c:pt idx="138">
                  <c:v>-5.657713575541039</c:v>
                </c:pt>
                <c:pt idx="139">
                  <c:v>-6.4993590661619747</c:v>
                </c:pt>
                <c:pt idx="140">
                  <c:v>-7.3371270239832036</c:v>
                </c:pt>
                <c:pt idx="141">
                  <c:v>-8.1713803326121575</c:v>
                </c:pt>
                <c:pt idx="142">
                  <c:v>-9.0024446369671818</c:v>
                </c:pt>
                <c:pt idx="143">
                  <c:v>-9.830612426357602</c:v>
                </c:pt>
                <c:pt idx="144">
                  <c:v>-10.656146596279024</c:v>
                </c:pt>
                <c:pt idx="145">
                  <c:v>-11.479283564058342</c:v>
                </c:pt>
                <c:pt idx="146">
                  <c:v>-12.30023600100405</c:v>
                </c:pt>
                <c:pt idx="147">
                  <c:v>-13.119195233523255</c:v>
                </c:pt>
                <c:pt idx="148">
                  <c:v>-13.936333357305369</c:v>
                </c:pt>
                <c:pt idx="149">
                  <c:v>-14.751805101775917</c:v>
                </c:pt>
                <c:pt idx="150">
                  <c:v>-15.5657494763219</c:v>
                </c:pt>
                <c:pt idx="151">
                  <c:v>-16.37829122504327</c:v>
                </c:pt>
                <c:pt idx="152">
                  <c:v>-17.189542112824586</c:v>
                </c:pt>
                <c:pt idx="153">
                  <c:v>-17.999602062197702</c:v>
                </c:pt>
                <c:pt idx="154">
                  <c:v>-18.808560157669007</c:v>
                </c:pt>
                <c:pt idx="155">
                  <c:v>-19.61649553181369</c:v>
                </c:pt>
                <c:pt idx="156">
                  <c:v>-20.423478145432135</c:v>
                </c:pt>
                <c:pt idx="157">
                  <c:v>-21.229569472341225</c:v>
                </c:pt>
                <c:pt idx="158">
                  <c:v>-22.034823097906987</c:v>
                </c:pt>
                <c:pt idx="159">
                  <c:v>-22.839285239155362</c:v>
                </c:pt>
                <c:pt idx="160">
                  <c:v>-23.642995193205017</c:v>
                </c:pt>
                <c:pt idx="161">
                  <c:v>-24.445985719816431</c:v>
                </c:pt>
                <c:pt idx="162">
                  <c:v>-25.248283363028353</c:v>
                </c:pt>
                <c:pt idx="163">
                  <c:v>-26.049908716126829</c:v>
                </c:pt>
                <c:pt idx="164">
                  <c:v>-26.850876633568316</c:v>
                </c:pt>
                <c:pt idx="165">
                  <c:v>-27.651196392921406</c:v>
                </c:pt>
                <c:pt idx="166">
                  <c:v>-28.450871809417894</c:v>
                </c:pt>
                <c:pt idx="167">
                  <c:v>-29.24990130527511</c:v>
                </c:pt>
                <c:pt idx="168">
                  <c:v>-30.048277935602869</c:v>
                </c:pt>
                <c:pt idx="169">
                  <c:v>-30.845989372389482</c:v>
                </c:pt>
                <c:pt idx="170">
                  <c:v>-31.64301784781728</c:v>
                </c:pt>
                <c:pt idx="171">
                  <c:v>-32.439340057946197</c:v>
                </c:pt>
                <c:pt idx="172">
                  <c:v>-33.234927027661698</c:v>
                </c:pt>
                <c:pt idx="173">
                  <c:v>-34.029743937683243</c:v>
                </c:pt>
                <c:pt idx="174">
                  <c:v>-34.823749914400068</c:v>
                </c:pt>
                <c:pt idx="175">
                  <c:v>-35.616897783326252</c:v>
                </c:pt>
                <c:pt idx="176">
                  <c:v>-36.409133787073543</c:v>
                </c:pt>
                <c:pt idx="177">
                  <c:v>-37.200397268920099</c:v>
                </c:pt>
                <c:pt idx="178">
                  <c:v>-37.990620323326247</c:v>
                </c:pt>
                <c:pt idx="179">
                  <c:v>-38.779727415119517</c:v>
                </c:pt>
                <c:pt idx="180">
                  <c:v>-39.567634969557744</c:v>
                </c:pt>
                <c:pt idx="181">
                  <c:v>-40.354250936085464</c:v>
                </c:pt>
                <c:pt idx="182">
                  <c:v>-41.139474329348609</c:v>
                </c:pt>
                <c:pt idx="183">
                  <c:v>-41.923194751928591</c:v>
                </c:pt>
                <c:pt idx="184">
                  <c:v>-42.70529190431516</c:v>
                </c:pt>
                <c:pt idx="185">
                  <c:v>-43.485635088868541</c:v>
                </c:pt>
                <c:pt idx="186">
                  <c:v>-44.264082715925937</c:v>
                </c:pt>
                <c:pt idx="187">
                  <c:v>-45.040481821792568</c:v>
                </c:pt>
                <c:pt idx="188">
                  <c:v>-45.814667610105261</c:v>
                </c:pt>
                <c:pt idx="189">
                  <c:v>-46.586463029963724</c:v>
                </c:pt>
                <c:pt idx="190">
                  <c:v>-47.355678406248352</c:v>
                </c:pt>
                <c:pt idx="191">
                  <c:v>-48.122111139643167</c:v>
                </c:pt>
                <c:pt idx="192">
                  <c:v>-48.885545495996809</c:v>
                </c:pt>
                <c:pt idx="193">
                  <c:v>-49.645752506689064</c:v>
                </c:pt>
                <c:pt idx="194">
                  <c:v>-50.402490003520427</c:v>
                </c:pt>
                <c:pt idx="195">
                  <c:v>-51.155502813167956</c:v>
                </c:pt>
                <c:pt idx="196">
                  <c:v>-51.90452313729071</c:v>
                </c:pt>
                <c:pt idx="197">
                  <c:v>-52.649271144733731</c:v>
                </c:pt>
                <c:pt idx="198">
                  <c:v>-53.389455801771028</c:v>
                </c:pt>
                <c:pt idx="199">
                  <c:v>-54.124775964724073</c:v>
                </c:pt>
                <c:pt idx="200">
                  <c:v>-54.854921756388606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31584"/>
        <c:axId val="94933760"/>
      </c:scatterChart>
      <c:valAx>
        <c:axId val="94931584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33760"/>
        <c:crosses val="autoZero"/>
        <c:crossBetween val="midCat"/>
      </c:valAx>
      <c:valAx>
        <c:axId val="9493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31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5345228311108"/>
          <c:y val="2.5352180375043481E-2"/>
          <c:w val="0.20258154599361949"/>
          <c:h val="0.16338057742782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9966273187178E-2"/>
          <c:y val="7.02247191011236E-2"/>
          <c:w val="0.88532883642495785"/>
          <c:h val="0.86235955056179781"/>
        </c:manualLayout>
      </c:layout>
      <c:scatterChart>
        <c:scatterStyle val="smoothMarker"/>
        <c:varyColors val="0"/>
        <c:ser>
          <c:idx val="3"/>
          <c:order val="0"/>
          <c:tx>
            <c:v> T(s)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Compensation!$AG$64:$AG$264</c:f>
              <c:numCache>
                <c:formatCode>General</c:formatCode>
                <c:ptCount val="201"/>
                <c:pt idx="0">
                  <c:v>12.714299230457225</c:v>
                </c:pt>
                <c:pt idx="1">
                  <c:v>12.714190206603051</c:v>
                </c:pt>
                <c:pt idx="2">
                  <c:v>12.71407066745877</c:v>
                </c:pt>
                <c:pt idx="3">
                  <c:v>12.713939599161906</c:v>
                </c:pt>
                <c:pt idx="4">
                  <c:v>12.713795890162487</c:v>
                </c:pt>
                <c:pt idx="5">
                  <c:v>12.713638321824286</c:v>
                </c:pt>
                <c:pt idx="6">
                  <c:v>12.713465558124621</c:v>
                </c:pt>
                <c:pt idx="7">
                  <c:v>12.713276134365831</c:v>
                </c:pt>
                <c:pt idx="8">
                  <c:v>12.713068444806899</c:v>
                </c:pt>
                <c:pt idx="9">
                  <c:v>12.712840729109164</c:v>
                </c:pt>
                <c:pt idx="10">
                  <c:v>12.712591057486096</c:v>
                </c:pt>
                <c:pt idx="11">
                  <c:v>12.712317314433738</c:v>
                </c:pt>
                <c:pt idx="12">
                  <c:v>12.712017180906372</c:v>
                </c:pt>
                <c:pt idx="13">
                  <c:v>12.711688114792235</c:v>
                </c:pt>
                <c:pt idx="14">
                  <c:v>12.711327329527911</c:v>
                </c:pt>
                <c:pt idx="15">
                  <c:v>12.710931770676934</c:v>
                </c:pt>
                <c:pt idx="16">
                  <c:v>12.710498090281517</c:v>
                </c:pt>
                <c:pt idx="17">
                  <c:v>12.710022618779387</c:v>
                </c:pt>
                <c:pt idx="18">
                  <c:v>12.709501334258285</c:v>
                </c:pt>
                <c:pt idx="19">
                  <c:v>12.708929828801342</c:v>
                </c:pt>
                <c:pt idx="20">
                  <c:v>12.708303271653708</c:v>
                </c:pt>
                <c:pt idx="21">
                  <c:v>12.707616368917682</c:v>
                </c:pt>
                <c:pt idx="22">
                  <c:v>12.706863319457595</c:v>
                </c:pt>
                <c:pt idx="23">
                  <c:v>12.706037766669347</c:v>
                </c:pt>
                <c:pt idx="24">
                  <c:v>12.705132745738027</c:v>
                </c:pt>
                <c:pt idx="25">
                  <c:v>12.704140625977187</c:v>
                </c:pt>
                <c:pt idx="26">
                  <c:v>12.703053047810782</c:v>
                </c:pt>
                <c:pt idx="27">
                  <c:v>12.701860853919303</c:v>
                </c:pt>
                <c:pt idx="28">
                  <c:v>12.700554014037087</c:v>
                </c:pt>
                <c:pt idx="29">
                  <c:v>12.699121542848244</c:v>
                </c:pt>
                <c:pt idx="30">
                  <c:v>12.69755141038279</c:v>
                </c:pt>
                <c:pt idx="31">
                  <c:v>12.695830444275163</c:v>
                </c:pt>
                <c:pt idx="32">
                  <c:v>12.693944223201045</c:v>
                </c:pt>
                <c:pt idx="33">
                  <c:v>12.691876960759338</c:v>
                </c:pt>
                <c:pt idx="34">
                  <c:v>12.689611379022661</c:v>
                </c:pt>
                <c:pt idx="35">
                  <c:v>12.68712857093184</c:v>
                </c:pt>
                <c:pt idx="36">
                  <c:v>12.684407850660048</c:v>
                </c:pt>
                <c:pt idx="37">
                  <c:v>12.681426591032674</c:v>
                </c:pt>
                <c:pt idx="38">
                  <c:v>12.678160047044981</c:v>
                </c:pt>
                <c:pt idx="39">
                  <c:v>12.674581164481358</c:v>
                </c:pt>
                <c:pt idx="40">
                  <c:v>12.670660372613083</c:v>
                </c:pt>
                <c:pt idx="41">
                  <c:v>12.666365359928571</c:v>
                </c:pt>
                <c:pt idx="42">
                  <c:v>12.661660831840969</c:v>
                </c:pt>
                <c:pt idx="43">
                  <c:v>12.656508249325251</c:v>
                </c:pt>
                <c:pt idx="44">
                  <c:v>12.650865547463169</c:v>
                </c:pt>
                <c:pt idx="45">
                  <c:v>12.644686832924787</c:v>
                </c:pt>
                <c:pt idx="46">
                  <c:v>12.637922059494901</c:v>
                </c:pt>
                <c:pt idx="47">
                  <c:v>12.630516680873898</c:v>
                </c:pt>
                <c:pt idx="48">
                  <c:v>12.62241128014195</c:v>
                </c:pt>
                <c:pt idx="49">
                  <c:v>12.61354117549034</c:v>
                </c:pt>
                <c:pt idx="50">
                  <c:v>12.603836002106794</c:v>
                </c:pt>
                <c:pt idx="51">
                  <c:v>12.593219270448287</c:v>
                </c:pt>
                <c:pt idx="52">
                  <c:v>12.581607901576126</c:v>
                </c:pt>
                <c:pt idx="53">
                  <c:v>12.568911740766112</c:v>
                </c:pt>
                <c:pt idx="54">
                  <c:v>12.555033051249954</c:v>
                </c:pt>
                <c:pt idx="55">
                  <c:v>12.539865990726149</c:v>
                </c:pt>
                <c:pt idx="56">
                  <c:v>12.523296074186161</c:v>
                </c:pt>
                <c:pt idx="57">
                  <c:v>12.505199627672425</c:v>
                </c:pt>
                <c:pt idx="58">
                  <c:v>12.485443238811085</c:v>
                </c:pt>
                <c:pt idx="59">
                  <c:v>12.46388321136248</c:v>
                </c:pt>
                <c:pt idx="60">
                  <c:v>12.440365032604353</c:v>
                </c:pt>
                <c:pt idx="61">
                  <c:v>12.414722864099891</c:v>
                </c:pt>
                <c:pt idx="62">
                  <c:v>12.386779068299534</c:v>
                </c:pt>
                <c:pt idx="63">
                  <c:v>12.356343785444732</c:v>
                </c:pt>
                <c:pt idx="64">
                  <c:v>12.323214577355335</c:v>
                </c:pt>
                <c:pt idx="65">
                  <c:v>12.287176156817896</c:v>
                </c:pt>
                <c:pt idx="66">
                  <c:v>12.248000223386772</c:v>
                </c:pt>
                <c:pt idx="67">
                  <c:v>12.205445428339651</c:v>
                </c:pt>
                <c:pt idx="68">
                  <c:v>12.159257493188703</c:v>
                </c:pt>
                <c:pt idx="69">
                  <c:v>12.109169507356485</c:v>
                </c:pt>
                <c:pt idx="70">
                  <c:v>12.054902431229921</c:v>
                </c:pt>
                <c:pt idx="71">
                  <c:v>11.996165830582301</c:v>
                </c:pt>
                <c:pt idx="72">
                  <c:v>11.93265886710506</c:v>
                </c:pt>
                <c:pt idx="73">
                  <c:v>11.864071567299717</c:v>
                </c:pt>
                <c:pt idx="74">
                  <c:v>11.790086388043088</c:v>
                </c:pt>
                <c:pt idx="75">
                  <c:v>11.71038009160581</c:v>
                </c:pt>
                <c:pt idx="76">
                  <c:v>11.624625935654958</c:v>
                </c:pt>
                <c:pt idx="77">
                  <c:v>11.532496174809225</c:v>
                </c:pt>
                <c:pt idx="78">
                  <c:v>11.433664859727187</c:v>
                </c:pt>
                <c:pt idx="79">
                  <c:v>11.327810907736449</c:v>
                </c:pt>
                <c:pt idx="80">
                  <c:v>11.214621406046559</c:v>
                </c:pt>
                <c:pt idx="81">
                  <c:v>11.093795095184223</c:v>
                </c:pt>
                <c:pt idx="82">
                  <c:v>10.965045967143812</c:v>
                </c:pt>
                <c:pt idx="83">
                  <c:v>10.828106900689559</c:v>
                </c:pt>
                <c:pt idx="84">
                  <c:v>10.68273324616511</c:v>
                </c:pt>
                <c:pt idx="85">
                  <c:v>10.528706264961832</c:v>
                </c:pt>
                <c:pt idx="86">
                  <c:v>10.365836325282618</c:v>
                </c:pt>
                <c:pt idx="87">
                  <c:v>10.19396575666542</c:v>
                </c:pt>
                <c:pt idx="88">
                  <c:v>10.012971271274862</c:v>
                </c:pt>
                <c:pt idx="89">
                  <c:v>9.8227658703249503</c:v>
                </c:pt>
                <c:pt idx="90">
                  <c:v>9.6233001688299638</c:v>
                </c:pt>
                <c:pt idx="91">
                  <c:v>9.4145630905597564</c:v>
                </c:pt>
                <c:pt idx="92">
                  <c:v>9.1965819065836492</c:v>
                </c:pt>
                <c:pt idx="93">
                  <c:v>8.9694216138713241</c:v>
                </c:pt>
                <c:pt idx="94">
                  <c:v>8.733183673708627</c:v>
                </c:pt>
                <c:pt idx="95">
                  <c:v>8.4880041517294202</c:v>
                </c:pt>
                <c:pt idx="96">
                  <c:v>8.2340513208971462</c:v>
                </c:pt>
                <c:pt idx="97">
                  <c:v>7.9715228046967699</c:v>
                </c:pt>
                <c:pt idx="98">
                  <c:v>7.700642349362564</c:v>
                </c:pt>
                <c:pt idx="99">
                  <c:v>7.4216563207793618</c:v>
                </c:pt>
                <c:pt idx="100">
                  <c:v>7.1348300237205624</c:v>
                </c:pt>
                <c:pt idx="101">
                  <c:v>6.8404439386368132</c:v>
                </c:pt>
                <c:pt idx="102">
                  <c:v>6.538789964873029</c:v>
                </c:pt>
                <c:pt idx="103">
                  <c:v>6.2301677497432637</c:v>
                </c:pt>
                <c:pt idx="104">
                  <c:v>5.9148811712230103</c:v>
                </c:pt>
                <c:pt idx="105">
                  <c:v>5.593235029021141</c:v>
                </c:pt>
                <c:pt idx="106">
                  <c:v>5.2655319853249232</c:v>
                </c:pt>
                <c:pt idx="107">
                  <c:v>4.9320697833058063</c:v>
                </c:pt>
                <c:pt idx="108">
                  <c:v>4.5931387591234927</c:v>
                </c:pt>
                <c:pt idx="109">
                  <c:v>4.2490196521166217</c:v>
                </c:pt>
                <c:pt idx="110">
                  <c:v>3.8999817083860151</c:v>
                </c:pt>
                <c:pt idx="111">
                  <c:v>3.5462810652086709</c:v>
                </c:pt>
                <c:pt idx="112">
                  <c:v>3.1881593976705451</c:v>
                </c:pt>
                <c:pt idx="113">
                  <c:v>2.8258428045098412</c:v>
                </c:pt>
                <c:pt idx="114">
                  <c:v>2.4595409072525043</c:v>
                </c:pt>
                <c:pt idx="115">
                  <c:v>2.0894461351385392</c:v>
                </c:pt>
                <c:pt idx="116">
                  <c:v>1.7157331678438636</c:v>
                </c:pt>
                <c:pt idx="117">
                  <c:v>1.3385585084211371</c:v>
                </c:pt>
                <c:pt idx="118">
                  <c:v>0.95806015998462446</c:v>
                </c:pt>
                <c:pt idx="119">
                  <c:v>0.57435738129857872</c:v>
                </c:pt>
                <c:pt idx="120">
                  <c:v>0.18755049842264854</c:v>
                </c:pt>
                <c:pt idx="121">
                  <c:v>-0.20227924819452531</c:v>
                </c:pt>
                <c:pt idx="122">
                  <c:v>-0.59506983940322788</c:v>
                </c:pt>
                <c:pt idx="123">
                  <c:v>-0.99077861160251435</c:v>
                </c:pt>
                <c:pt idx="124">
                  <c:v>-1.389382402868057</c:v>
                </c:pt>
                <c:pt idx="125">
                  <c:v>-1.7908777218141079</c:v>
                </c:pt>
                <c:pt idx="126">
                  <c:v>-2.1952809476157715</c:v>
                </c:pt>
                <c:pt idx="127">
                  <c:v>-2.60262856720448</c:v>
                </c:pt>
                <c:pt idx="128">
                  <c:v>-3.0129774532538796</c:v>
                </c:pt>
                <c:pt idx="129">
                  <c:v>-3.426405184161224</c:v>
                </c:pt>
                <c:pt idx="130">
                  <c:v>-3.8430104047969822</c:v>
                </c:pt>
                <c:pt idx="131">
                  <c:v>-4.2629132243005694</c:v>
                </c:pt>
                <c:pt idx="132">
                  <c:v>-4.686255644631153</c:v>
                </c:pt>
                <c:pt idx="133">
                  <c:v>-5.1132020109188243</c:v>
                </c:pt>
                <c:pt idx="134">
                  <c:v>-5.5439394718891162</c:v>
                </c:pt>
                <c:pt idx="135">
                  <c:v>-5.97867843575888</c:v>
                </c:pt>
                <c:pt idx="136">
                  <c:v>-6.4176530040362767</c:v>
                </c:pt>
                <c:pt idx="137">
                  <c:v>-6.8611213626318506</c:v>
                </c:pt>
                <c:pt idx="138">
                  <c:v>-7.309366106665256</c:v>
                </c:pt>
                <c:pt idx="139">
                  <c:v>-7.762694472401936</c:v>
                </c:pt>
                <c:pt idx="140">
                  <c:v>-8.2214384469886248</c:v>
                </c:pt>
                <c:pt idx="141">
                  <c:v>-8.685954724209191</c:v>
                </c:pt>
                <c:pt idx="142">
                  <c:v>-9.1566244725160892</c:v>
                </c:pt>
                <c:pt idx="143">
                  <c:v>-9.6338528802932153</c:v>
                </c:pt>
                <c:pt idx="144">
                  <c:v>-10.118068442882876</c:v>
                </c:pt>
                <c:pt idx="145">
                  <c:v>-10.60972195657838</c:v>
                </c:pt>
                <c:pt idx="146">
                  <c:v>-11.109285186754354</c:v>
                </c:pt>
                <c:pt idx="147">
                  <c:v>-11.617249180771672</c:v>
                </c:pt>
                <c:pt idx="148">
                  <c:v>-12.134122201399361</c:v>
                </c:pt>
                <c:pt idx="149">
                  <c:v>-12.660427263314842</c:v>
                </c:pt>
                <c:pt idx="150">
                  <c:v>-13.196699263775375</c:v>
                </c:pt>
                <c:pt idx="151">
                  <c:v>-13.743481708657059</c:v>
                </c:pt>
                <c:pt idx="152">
                  <c:v>-14.301323046490371</c:v>
                </c:pt>
                <c:pt idx="153">
                  <c:v>-14.870772635489011</c:v>
                </c:pt>
                <c:pt idx="154">
                  <c:v>-15.452376381357457</c:v>
                </c:pt>
                <c:pt idx="155">
                  <c:v>-16.046672096251172</c:v>
                </c:pt>
                <c:pt idx="156">
                  <c:v>-16.654184640982447</c:v>
                </c:pt>
                <c:pt idx="157">
                  <c:v>-17.275420922710289</c:v>
                </c:pt>
                <c:pt idx="158">
                  <c:v>-17.910864828317695</c:v>
                </c:pt>
                <c:pt idx="159">
                  <c:v>-18.560972178942624</c:v>
                </c:pt>
                <c:pt idx="160">
                  <c:v>-19.226165793388759</c:v>
                </c:pt>
                <c:pt idx="161">
                  <c:v>-19.906830747298415</c:v>
                </c:pt>
                <c:pt idx="162">
                  <c:v>-20.603309911188362</c:v>
                </c:pt>
                <c:pt idx="163">
                  <c:v>-21.315899844091241</c:v>
                </c:pt>
                <c:pt idx="164">
                  <c:v>-22.044847111179884</c:v>
                </c:pt>
                <c:pt idx="165">
                  <c:v>-22.790345084009651</c:v>
                </c:pt>
                <c:pt idx="166">
                  <c:v>-23.552531271560071</c:v>
                </c:pt>
                <c:pt idx="167">
                  <c:v>-24.331485219634533</c:v>
                </c:pt>
                <c:pt idx="168">
                  <c:v>-25.127227005818074</c:v>
                </c:pt>
                <c:pt idx="169">
                  <c:v>-25.939716347256962</c:v>
                </c:pt>
                <c:pt idx="170">
                  <c:v>-26.768852329050219</c:v>
                </c:pt>
                <c:pt idx="171">
                  <c:v>-27.614473751819819</c:v>
                </c:pt>
                <c:pt idx="172">
                  <c:v>-28.47636008784351</c:v>
                </c:pt>
                <c:pt idx="173">
                  <c:v>-29.354233025695066</c:v>
                </c:pt>
                <c:pt idx="174">
                  <c:v>-30.247758573526013</c:v>
                </c:pt>
                <c:pt idx="175">
                  <c:v>-31.156549680910729</c:v>
                </c:pt>
                <c:pt idx="176">
                  <c:v>-32.080169328816041</c:v>
                </c:pt>
                <c:pt idx="177">
                  <c:v>-33.018134027137606</c:v>
                </c:pt>
                <c:pt idx="178">
                  <c:v>-33.96991764996389</c:v>
                </c:pt>
                <c:pt idx="179">
                  <c:v>-34.934955530939334</c:v>
                </c:pt>
                <c:pt idx="180">
                  <c:v>-35.912648735463733</c:v>
                </c:pt>
                <c:pt idx="181">
                  <c:v>-36.902368423529822</c:v>
                </c:pt>
                <c:pt idx="182">
                  <c:v>-37.903460217162632</c:v>
                </c:pt>
                <c:pt idx="183">
                  <c:v>-38.915248489815703</c:v>
                </c:pt>
                <c:pt idx="184">
                  <c:v>-39.937040501625646</c:v>
                </c:pt>
                <c:pt idx="185">
                  <c:v>-40.968130313806853</c:v>
                </c:pt>
                <c:pt idx="186">
                  <c:v>-42.007802427170724</c:v>
                </c:pt>
                <c:pt idx="187">
                  <c:v>-43.055335103160317</c:v>
                </c:pt>
                <c:pt idx="188">
                  <c:v>-44.110003340189508</c:v>
                </c:pt>
                <c:pt idx="189">
                  <c:v>-45.171081492791643</c:v>
                </c:pt>
                <c:pt idx="190">
                  <c:v>-46.237845535456337</c:v>
                </c:pt>
                <c:pt idx="191">
                  <c:v>-47.309574986517482</c:v>
                </c:pt>
                <c:pt idx="192">
                  <c:v>-48.385554519612803</c:v>
                </c:pt>
                <c:pt idx="193">
                  <c:v>-49.465075300715327</c:v>
                </c:pt>
                <c:pt idx="194">
                  <c:v>-50.547436097329751</c:v>
                </c:pt>
                <c:pt idx="195">
                  <c:v>-51.631944212994881</c:v>
                </c:pt>
                <c:pt idx="196">
                  <c:v>-52.717916304671313</c:v>
                </c:pt>
                <c:pt idx="197">
                  <c:v>-53.804679142874548</c:v>
                </c:pt>
                <c:pt idx="198">
                  <c:v>-54.891570374544358</c:v>
                </c:pt>
                <c:pt idx="199">
                  <c:v>-55.977939346603961</c:v>
                </c:pt>
                <c:pt idx="200">
                  <c:v>-57.063148043982963</c:v>
                </c:pt>
              </c:numCache>
            </c:numRef>
          </c:yVal>
          <c:smooth val="1"/>
        </c:ser>
        <c:ser>
          <c:idx val="0"/>
          <c:order val="1"/>
          <c:tx>
            <c:v>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Compensation!$AX$64:$AX$264</c:f>
              <c:numCache>
                <c:formatCode>General</c:formatCode>
                <c:ptCount val="201"/>
                <c:pt idx="0">
                  <c:v>20.059291180334004</c:v>
                </c:pt>
                <c:pt idx="1">
                  <c:v>19.662529827293113</c:v>
                </c:pt>
                <c:pt idx="2">
                  <c:v>19.266047654573072</c:v>
                </c:pt>
                <c:pt idx="3">
                  <c:v>18.869873804016244</c:v>
                </c:pt>
                <c:pt idx="4">
                  <c:v>18.474039891392493</c:v>
                </c:pt>
                <c:pt idx="5">
                  <c:v>18.078580246273074</c:v>
                </c:pt>
                <c:pt idx="6">
                  <c:v>17.683532169374423</c:v>
                </c:pt>
                <c:pt idx="7">
                  <c:v>17.288936208485701</c:v>
                </c:pt>
                <c:pt idx="8">
                  <c:v>16.894836454050065</c:v>
                </c:pt>
                <c:pt idx="9">
                  <c:v>16.501280855407025</c:v>
                </c:pt>
                <c:pt idx="10">
                  <c:v>16.108321558599872</c:v>
                </c:pt>
                <c:pt idx="11">
                  <c:v>15.716015266517447</c:v>
                </c:pt>
                <c:pt idx="12">
                  <c:v>15.32442362195348</c:v>
                </c:pt>
                <c:pt idx="13">
                  <c:v>14.933613613924868</c:v>
                </c:pt>
                <c:pt idx="14">
                  <c:v>14.543658007284545</c:v>
                </c:pt>
                <c:pt idx="15">
                  <c:v>14.154635795277947</c:v>
                </c:pt>
                <c:pt idx="16">
                  <c:v>13.766632674218823</c:v>
                </c:pt>
                <c:pt idx="17">
                  <c:v>13.379741538880348</c:v>
                </c:pt>
                <c:pt idx="18">
                  <c:v>12.994062996504665</c:v>
                </c:pt>
                <c:pt idx="19">
                  <c:v>12.609705896507792</c:v>
                </c:pt>
                <c:pt idx="20">
                  <c:v>12.226787871987007</c:v>
                </c:pt>
                <c:pt idx="21">
                  <c:v>11.845435888016059</c:v>
                </c:pt>
                <c:pt idx="22">
                  <c:v>11.465786790417367</c:v>
                </c:pt>
                <c:pt idx="23">
                  <c:v>11.08798784724398</c:v>
                </c:pt>
                <c:pt idx="24">
                  <c:v>10.712197273566222</c:v>
                </c:pt>
                <c:pt idx="25">
                  <c:v>10.338584728361074</c:v>
                </c:pt>
                <c:pt idx="26">
                  <c:v>9.9673317703553206</c:v>
                </c:pt>
                <c:pt idx="27">
                  <c:v>9.5986322576157264</c:v>
                </c:pt>
                <c:pt idx="28">
                  <c:v>9.2326926735411128</c:v>
                </c:pt>
                <c:pt idx="29">
                  <c:v>8.8697323597810573</c:v>
                </c:pt>
                <c:pt idx="30">
                  <c:v>8.5099836345490036</c:v>
                </c:pt>
                <c:pt idx="31">
                  <c:v>8.1536917729409826</c:v>
                </c:pt>
                <c:pt idx="32">
                  <c:v>7.8011148243455599</c:v>
                </c:pt>
                <c:pt idx="33">
                  <c:v>7.4525232410058981</c:v>
                </c:pt>
                <c:pt idx="34">
                  <c:v>7.1081992914466667</c:v>
                </c:pt>
                <c:pt idx="35">
                  <c:v>6.7684362330312204</c:v>
                </c:pt>
                <c:pt idx="36">
                  <c:v>6.433537219559053</c:v>
                </c:pt>
                <c:pt idx="37">
                  <c:v>6.1038139227823427</c:v>
                </c:pt>
                <c:pt idx="38">
                  <c:v>5.779584851185624</c:v>
                </c:pt>
                <c:pt idx="39">
                  <c:v>5.461173355488226</c:v>
                </c:pt>
                <c:pt idx="40">
                  <c:v>5.1489053181633171</c:v>
                </c:pt>
                <c:pt idx="41">
                  <c:v>4.8431065338059973</c:v>
                </c:pt>
                <c:pt idx="42">
                  <c:v>4.5440997982744626</c:v>
                </c:pt>
                <c:pt idx="43">
                  <c:v>4.2522017368848495</c:v>
                </c:pt>
                <c:pt idx="44">
                  <c:v>3.9677194151208726</c:v>
                </c:pt>
                <c:pt idx="45">
                  <c:v>3.6909467887031875</c:v>
                </c:pt>
                <c:pt idx="46">
                  <c:v>3.4221610627200221</c:v>
                </c:pt>
                <c:pt idx="47">
                  <c:v>3.1616190409755345</c:v>
                </c:pt>
                <c:pt idx="48">
                  <c:v>2.9095535558846612</c:v>
                </c:pt>
                <c:pt idx="49">
                  <c:v>2.6661700752296165</c:v>
                </c:pt>
                <c:pt idx="50">
                  <c:v>2.4316435841500517</c:v>
                </c:pt>
                <c:pt idx="51">
                  <c:v>2.2061158382825821</c:v>
                </c:pt>
                <c:pt idx="52">
                  <c:v>1.9896930767182139</c:v>
                </c:pt>
                <c:pt idx="53">
                  <c:v>1.782444271464497</c:v>
                </c:pt>
                <c:pt idx="54">
                  <c:v>1.584399973808285</c:v>
                </c:pt>
                <c:pt idx="55">
                  <c:v>1.3955517981615184</c:v>
                </c:pt>
                <c:pt idx="56">
                  <c:v>1.2158525617322082</c:v>
                </c:pt>
                <c:pt idx="57">
                  <c:v>1.045217075012614</c:v>
                </c:pt>
                <c:pt idx="58">
                  <c:v>0.88352355502740498</c:v>
                </c:pt>
                <c:pt idx="59">
                  <c:v>0.73061561193106483</c:v>
                </c:pt>
                <c:pt idx="60">
                  <c:v>0.58630474111329334</c:v>
                </c:pt>
                <c:pt idx="61">
                  <c:v>0.45037323844381105</c:v>
                </c:pt>
                <c:pt idx="62">
                  <c:v>0.32257744629421381</c:v>
                </c:pt>
                <c:pt idx="63">
                  <c:v>0.20265123278377206</c:v>
                </c:pt>
                <c:pt idx="64">
                  <c:v>9.0309606220560792E-2</c:v>
                </c:pt>
                <c:pt idx="65">
                  <c:v>-1.4747629479423967E-2</c:v>
                </c:pt>
                <c:pt idx="66">
                  <c:v>-0.11283226516303535</c:v>
                </c:pt>
                <c:pt idx="67">
                  <c:v>-0.20426419911197741</c:v>
                </c:pt>
                <c:pt idx="68">
                  <c:v>-0.28936813636869713</c:v>
                </c:pt>
                <c:pt idx="69">
                  <c:v>-0.36847052588732498</c:v>
                </c:pt>
                <c:pt idx="70">
                  <c:v>-0.44189677330154153</c:v>
                </c:pt>
                <c:pt idx="71">
                  <c:v>-0.50996875420903442</c:v>
                </c:pt>
                <c:pt idx="72">
                  <c:v>-0.57300264101138976</c:v>
                </c:pt>
                <c:pt idx="73">
                  <c:v>-0.63130704589347209</c:v>
                </c:pt>
                <c:pt idx="74">
                  <c:v>-0.68518147370868321</c:v>
                </c:pt>
                <c:pt idx="75">
                  <c:v>-0.73491507143996437</c:v>
                </c:pt>
                <c:pt idx="76">
                  <c:v>-0.78078565551121404</c:v>
                </c:pt>
                <c:pt idx="77">
                  <c:v>-0.82305899442087982</c:v>
                </c:pt>
                <c:pt idx="78">
                  <c:v>-0.86198832179323315</c:v>
                </c:pt>
                <c:pt idx="79">
                  <c:v>-0.89781405379339707</c:v>
                </c:pt>
                <c:pt idx="80">
                  <c:v>-0.93076368471382775</c:v>
                </c:pt>
                <c:pt idx="81">
                  <c:v>-0.96105183520384352</c:v>
                </c:pt>
                <c:pt idx="82">
                  <c:v>-0.98888042887950556</c:v>
                </c:pt>
                <c:pt idx="83">
                  <c:v>-1.0144389747398987</c:v>
                </c:pt>
                <c:pt idx="84">
                  <c:v>-1.0379049347801954</c:v>
                </c:pt>
                <c:pt idx="85">
                  <c:v>-1.0594441582948886</c:v>
                </c:pt>
                <c:pt idx="86">
                  <c:v>-1.0792113665185725</c:v>
                </c:pt>
                <c:pt idx="87">
                  <c:v>-1.0973506733631839</c:v>
                </c:pt>
                <c:pt idx="88">
                  <c:v>-1.1139961300388419</c:v>
                </c:pt>
                <c:pt idx="89">
                  <c:v>-1.1292722832357451</c:v>
                </c:pt>
                <c:pt idx="90">
                  <c:v>-1.1432947382854683</c:v>
                </c:pt>
                <c:pt idx="91">
                  <c:v>-1.156170720289063</c:v>
                </c:pt>
                <c:pt idx="92">
                  <c:v>-1.1679996275995543</c:v>
                </c:pt>
                <c:pt idx="93">
                  <c:v>-1.1788735732756095</c:v>
                </c:pt>
                <c:pt idx="94">
                  <c:v>-1.1888779111939289</c:v>
                </c:pt>
                <c:pt idx="95">
                  <c:v>-1.1980917444254149</c:v>
                </c:pt>
                <c:pt idx="96">
                  <c:v>-1.2065884142647176</c:v>
                </c:pt>
                <c:pt idx="97">
                  <c:v>-1.2144359689592217</c:v>
                </c:pt>
                <c:pt idx="98">
                  <c:v>-1.2216976117345737</c:v>
                </c:pt>
                <c:pt idx="99">
                  <c:v>-1.2284321281652681</c:v>
                </c:pt>
                <c:pt idx="100">
                  <c:v>-1.2346942933105851</c:v>
                </c:pt>
                <c:pt idx="101">
                  <c:v>-1.2405352593335526</c:v>
                </c:pt>
                <c:pt idx="102">
                  <c:v>-1.2460029245593489</c:v>
                </c:pt>
                <c:pt idx="103">
                  <c:v>-1.2511422851185996</c:v>
                </c:pt>
                <c:pt idx="104">
                  <c:v>-1.2559957704657672</c:v>
                </c:pt>
                <c:pt idx="105">
                  <c:v>-1.2606035641744051</c:v>
                </c:pt>
                <c:pt idx="106">
                  <c:v>-1.2650039114973017</c:v>
                </c:pt>
                <c:pt idx="107">
                  <c:v>-1.2692334152388542</c:v>
                </c:pt>
                <c:pt idx="108">
                  <c:v>-1.273327321534846</c:v>
                </c:pt>
                <c:pt idx="109">
                  <c:v>-1.2773197971618462</c:v>
                </c:pt>
                <c:pt idx="110">
                  <c:v>-1.281244200027587</c:v>
                </c:pt>
                <c:pt idx="111">
                  <c:v>-1.2851333444987079</c:v>
                </c:pt>
                <c:pt idx="112">
                  <c:v>-1.289019763240016</c:v>
                </c:pt>
                <c:pt idx="113">
                  <c:v>-1.2929359672386505</c:v>
                </c:pt>
                <c:pt idx="114">
                  <c:v>-1.2969147056920232</c:v>
                </c:pt>
                <c:pt idx="115">
                  <c:v>-1.3009892274388655</c:v>
                </c:pt>
                <c:pt idx="116">
                  <c:v>-1.305193545608724</c:v>
                </c:pt>
                <c:pt idx="117">
                  <c:v>-1.3095627071632356</c:v>
                </c:pt>
                <c:pt idx="118">
                  <c:v>-1.3141330689932689</c:v>
                </c:pt>
                <c:pt idx="119">
                  <c:v>-1.3189425822220737</c:v>
                </c:pt>
                <c:pt idx="120">
                  <c:v>-1.3240310863478812</c:v>
                </c:pt>
                <c:pt idx="121">
                  <c:v>-1.3294406148255</c:v>
                </c:pt>
                <c:pt idx="122">
                  <c:v>-1.3352157136502598</c:v>
                </c:pt>
                <c:pt idx="123">
                  <c:v>-1.3414037744429375</c:v>
                </c:pt>
                <c:pt idx="124">
                  <c:v>-1.3480553834622031</c:v>
                </c:pt>
                <c:pt idx="125">
                  <c:v>-1.3552246878572893</c:v>
                </c:pt>
                <c:pt idx="126">
                  <c:v>-1.3629697803427709</c:v>
                </c:pt>
                <c:pt idx="127">
                  <c:v>-1.3713531032917725</c:v>
                </c:pt>
                <c:pt idx="128">
                  <c:v>-1.3804418730185584</c:v>
                </c:pt>
                <c:pt idx="129">
                  <c:v>-1.3903085247365028</c:v>
                </c:pt>
                <c:pt idx="130">
                  <c:v>-1.4010311783176945</c:v>
                </c:pt>
                <c:pt idx="131">
                  <c:v>-1.4126941245482483</c:v>
                </c:pt>
                <c:pt idx="132">
                  <c:v>-1.4253883310414834</c:v>
                </c:pt>
                <c:pt idx="133">
                  <c:v>-1.4392119663328939</c:v>
                </c:pt>
                <c:pt idx="134">
                  <c:v>-1.4542709399268297</c:v>
                </c:pt>
                <c:pt idx="135">
                  <c:v>-1.4706794551677518</c:v>
                </c:pt>
                <c:pt idx="136">
                  <c:v>-1.4885605707720349</c:v>
                </c:pt>
                <c:pt idx="137">
                  <c:v>-1.5080467656561614</c:v>
                </c:pt>
                <c:pt idx="138">
                  <c:v>-1.5292805003296106</c:v>
                </c:pt>
                <c:pt idx="139">
                  <c:v>-1.5524147665838008</c:v>
                </c:pt>
                <c:pt idx="140">
                  <c:v>-1.5776136155005551</c:v>
                </c:pt>
                <c:pt idx="141">
                  <c:v>-1.6050526519386943</c:v>
                </c:pt>
                <c:pt idx="142">
                  <c:v>-1.6349194816558954</c:v>
                </c:pt>
                <c:pt idx="143">
                  <c:v>-1.6674140951226963</c:v>
                </c:pt>
                <c:pt idx="144">
                  <c:v>-1.7027491699366146</c:v>
                </c:pt>
                <c:pt idx="145">
                  <c:v>-1.7411502716295304</c:v>
                </c:pt>
                <c:pt idx="146">
                  <c:v>-1.7828559306614573</c:v>
                </c:pt>
                <c:pt idx="147">
                  <c:v>-1.8281175716513067</c:v>
                </c:pt>
                <c:pt idx="148">
                  <c:v>-1.8771992695391964</c:v>
                </c:pt>
                <c:pt idx="149">
                  <c:v>-1.930377306592711</c:v>
                </c:pt>
                <c:pt idx="150">
                  <c:v>-1.9879395041483798</c:v>
                </c:pt>
                <c:pt idx="151">
                  <c:v>-2.0501843039317587</c:v>
                </c:pt>
                <c:pt idx="152">
                  <c:v>-2.1174195759427974</c:v>
                </c:pt>
                <c:pt idx="153">
                  <c:v>-2.1899611334248954</c:v>
                </c:pt>
                <c:pt idx="154">
                  <c:v>-2.2681309405370289</c:v>
                </c:pt>
                <c:pt idx="155">
                  <c:v>-2.352255005134186</c:v>
                </c:pt>
                <c:pt idx="156">
                  <c:v>-2.4426609575762801</c:v>
                </c:pt>
                <c:pt idx="157">
                  <c:v>-2.5396753266576604</c:v>
                </c:pt>
                <c:pt idx="158">
                  <c:v>-2.643620535389521</c:v>
                </c:pt>
                <c:pt idx="159">
                  <c:v>-2.7548116521069228</c:v>
                </c:pt>
                <c:pt idx="160">
                  <c:v>-2.8735529457282807</c:v>
                </c:pt>
                <c:pt idx="161">
                  <c:v>-3.0001343072680924</c:v>
                </c:pt>
                <c:pt idx="162">
                  <c:v>-3.1348276121332228</c:v>
                </c:pt>
                <c:pt idx="163">
                  <c:v>-3.2778831084084818</c:v>
                </c:pt>
                <c:pt idx="164">
                  <c:v>-3.4295259243751213</c:v>
                </c:pt>
                <c:pt idx="165">
                  <c:v>-3.5899527930512005</c:v>
                </c:pt>
                <c:pt idx="166">
                  <c:v>-3.7593290918964861</c:v>
                </c:pt>
                <c:pt idx="167">
                  <c:v>-3.9377862915278565</c:v>
                </c:pt>
                <c:pt idx="168">
                  <c:v>-4.1254198981777135</c:v>
                </c:pt>
                <c:pt idx="169">
                  <c:v>-4.3222879609065847</c:v>
                </c:pt>
                <c:pt idx="170">
                  <c:v>-4.5284101968162647</c:v>
                </c:pt>
                <c:pt idx="171">
                  <c:v>-4.7437677666202402</c:v>
                </c:pt>
                <c:pt idx="172">
                  <c:v>-4.9683037101124601</c:v>
                </c:pt>
                <c:pt idx="173">
                  <c:v>-5.2019240276867649</c:v>
                </c:pt>
                <c:pt idx="174">
                  <c:v>-5.4444993715436452</c:v>
                </c:pt>
                <c:pt idx="175">
                  <c:v>-5.695867289893437</c:v>
                </c:pt>
                <c:pt idx="176">
                  <c:v>-5.9558349504911101</c:v>
                </c:pt>
                <c:pt idx="177">
                  <c:v>-6.2241822570502139</c:v>
                </c:pt>
                <c:pt idx="178">
                  <c:v>-6.5006652639845282</c:v>
                </c:pt>
                <c:pt idx="179">
                  <c:v>-6.7850197916367891</c:v>
                </c:pt>
                <c:pt idx="180">
                  <c:v>-7.0769651454426032</c:v>
                </c:pt>
                <c:pt idx="181">
                  <c:v>-7.3762078478320259</c:v>
                </c:pt>
                <c:pt idx="182">
                  <c:v>-7.6824453003463011</c:v>
                </c:pt>
                <c:pt idx="183">
                  <c:v>-7.9953693045766174</c:v>
                </c:pt>
                <c:pt idx="184">
                  <c:v>-8.3146693832175096</c:v>
                </c:pt>
                <c:pt idx="185">
                  <c:v>-8.6400358558920569</c:v>
                </c:pt>
                <c:pt idx="186">
                  <c:v>-8.9711626376790559</c:v>
                </c:pt>
                <c:pt idx="187">
                  <c:v>-9.3077497408217553</c:v>
                </c:pt>
                <c:pt idx="188">
                  <c:v>-9.649505471439884</c:v>
                </c:pt>
                <c:pt idx="189">
                  <c:v>-9.9961483228797867</c:v>
                </c:pt>
                <c:pt idx="190">
                  <c:v>-10.34740857545782</c:v>
                </c:pt>
                <c:pt idx="191">
                  <c:v>-10.703029618721613</c:v>
                </c:pt>
                <c:pt idx="192">
                  <c:v>-11.062769017038343</c:v>
                </c:pt>
                <c:pt idx="193">
                  <c:v>-11.426399342442153</c:v>
                </c:pt>
                <c:pt idx="194">
                  <c:v>-11.793708800410236</c:v>
                </c:pt>
                <c:pt idx="195">
                  <c:v>-12.164501674794931</c:v>
                </c:pt>
                <c:pt idx="196">
                  <c:v>-12.538598617720069</c:v>
                </c:pt>
                <c:pt idx="197">
                  <c:v>-12.915836809054094</c:v>
                </c:pt>
                <c:pt idx="198">
                  <c:v>-13.296070008287852</c:v>
                </c:pt>
                <c:pt idx="199">
                  <c:v>-13.67916851941928</c:v>
                </c:pt>
                <c:pt idx="200">
                  <c:v>-14.065019086923671</c:v>
                </c:pt>
              </c:numCache>
            </c:numRef>
          </c:yVal>
          <c:smooth val="1"/>
        </c:ser>
        <c:ser>
          <c:idx val="1"/>
          <c:order val="2"/>
          <c:tx>
            <c:v>T(s) with Comp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32.773590410791229</c:v>
                </c:pt>
                <c:pt idx="1">
                  <c:v>32.376720033896184</c:v>
                </c:pt>
                <c:pt idx="2">
                  <c:v>31.980118322031856</c:v>
                </c:pt>
                <c:pt idx="3">
                  <c:v>31.583813403178141</c:v>
                </c:pt>
                <c:pt idx="4">
                  <c:v>31.18783578155497</c:v>
                </c:pt>
                <c:pt idx="5">
                  <c:v>30.792218568097351</c:v>
                </c:pt>
                <c:pt idx="6">
                  <c:v>30.396997727499048</c:v>
                </c:pt>
                <c:pt idx="7">
                  <c:v>30.002212342851532</c:v>
                </c:pt>
                <c:pt idx="8">
                  <c:v>29.607904898856972</c:v>
                </c:pt>
                <c:pt idx="9">
                  <c:v>29.214121584516178</c:v>
                </c:pt>
                <c:pt idx="10">
                  <c:v>28.820912616085984</c:v>
                </c:pt>
                <c:pt idx="11">
                  <c:v>28.428332580951189</c:v>
                </c:pt>
                <c:pt idx="12">
                  <c:v>28.03644080285985</c:v>
                </c:pt>
                <c:pt idx="13">
                  <c:v>27.64530172871709</c:v>
                </c:pt>
                <c:pt idx="14">
                  <c:v>27.25498533681245</c:v>
                </c:pt>
                <c:pt idx="15">
                  <c:v>26.865567565954898</c:v>
                </c:pt>
                <c:pt idx="16">
                  <c:v>26.477130764500338</c:v>
                </c:pt>
                <c:pt idx="17">
                  <c:v>26.089764157659733</c:v>
                </c:pt>
                <c:pt idx="18">
                  <c:v>25.703564330762969</c:v>
                </c:pt>
                <c:pt idx="19">
                  <c:v>25.318635725309136</c:v>
                </c:pt>
                <c:pt idx="20">
                  <c:v>24.935091143640715</c:v>
                </c:pt>
                <c:pt idx="21">
                  <c:v>24.553052256933746</c:v>
                </c:pt>
                <c:pt idx="22">
                  <c:v>24.172650109874954</c:v>
                </c:pt>
                <c:pt idx="23">
                  <c:v>23.794025613913306</c:v>
                </c:pt>
                <c:pt idx="24">
                  <c:v>23.417330019304238</c:v>
                </c:pt>
                <c:pt idx="25">
                  <c:v>23.042725354338241</c:v>
                </c:pt>
                <c:pt idx="26">
                  <c:v>22.67038481816607</c:v>
                </c:pt>
                <c:pt idx="27">
                  <c:v>22.300493111535005</c:v>
                </c:pt>
                <c:pt idx="28">
                  <c:v>21.933246687578173</c:v>
                </c:pt>
                <c:pt idx="29">
                  <c:v>21.568853902629268</c:v>
                </c:pt>
                <c:pt idx="30">
                  <c:v>21.207535044931831</c:v>
                </c:pt>
                <c:pt idx="31">
                  <c:v>20.849522217216151</c:v>
                </c:pt>
                <c:pt idx="32">
                  <c:v>20.495059047546562</c:v>
                </c:pt>
                <c:pt idx="33">
                  <c:v>20.144400201765251</c:v>
                </c:pt>
                <c:pt idx="34">
                  <c:v>19.797810670469357</c:v>
                </c:pt>
                <c:pt idx="35">
                  <c:v>19.45556480396305</c:v>
                </c:pt>
                <c:pt idx="36">
                  <c:v>19.11794507021909</c:v>
                </c:pt>
                <c:pt idx="37">
                  <c:v>18.785240513815019</c:v>
                </c:pt>
                <c:pt idx="38">
                  <c:v>18.457744898230601</c:v>
                </c:pt>
                <c:pt idx="39">
                  <c:v>18.135754519969566</c:v>
                </c:pt>
                <c:pt idx="40">
                  <c:v>17.819565690776404</c:v>
                </c:pt>
                <c:pt idx="41">
                  <c:v>17.509471893734585</c:v>
                </c:pt>
                <c:pt idx="42">
                  <c:v>17.205760630115435</c:v>
                </c:pt>
                <c:pt idx="43">
                  <c:v>16.908709986210091</c:v>
                </c:pt>
                <c:pt idx="44">
                  <c:v>16.618584962584045</c:v>
                </c:pt>
                <c:pt idx="45">
                  <c:v>16.335633621627956</c:v>
                </c:pt>
                <c:pt idx="46">
                  <c:v>16.060083122214927</c:v>
                </c:pt>
                <c:pt idx="47">
                  <c:v>15.792135721849442</c:v>
                </c:pt>
                <c:pt idx="48">
                  <c:v>15.53196483602661</c:v>
                </c:pt>
                <c:pt idx="49">
                  <c:v>15.279711250719949</c:v>
                </c:pt>
                <c:pt idx="50">
                  <c:v>15.035479586256857</c:v>
                </c:pt>
                <c:pt idx="51">
                  <c:v>14.799335108730869</c:v>
                </c:pt>
                <c:pt idx="52">
                  <c:v>14.571300978294344</c:v>
                </c:pt>
                <c:pt idx="53">
                  <c:v>14.351356012230612</c:v>
                </c:pt>
                <c:pt idx="54">
                  <c:v>14.139433025058255</c:v>
                </c:pt>
                <c:pt idx="55">
                  <c:v>13.935417788887662</c:v>
                </c:pt>
                <c:pt idx="56">
                  <c:v>13.739148635918392</c:v>
                </c:pt>
                <c:pt idx="57">
                  <c:v>13.550416702685041</c:v>
                </c:pt>
                <c:pt idx="58">
                  <c:v>13.36896679383848</c:v>
                </c:pt>
                <c:pt idx="59">
                  <c:v>13.194498823293534</c:v>
                </c:pt>
                <c:pt idx="60">
                  <c:v>13.026669773717652</c:v>
                </c:pt>
                <c:pt idx="61">
                  <c:v>12.865096102543705</c:v>
                </c:pt>
                <c:pt idx="62">
                  <c:v>12.709356514593747</c:v>
                </c:pt>
                <c:pt idx="63">
                  <c:v>12.558995018228515</c:v>
                </c:pt>
                <c:pt idx="64">
                  <c:v>12.413524183575904</c:v>
                </c:pt>
                <c:pt idx="65">
                  <c:v>12.272428527338462</c:v>
                </c:pt>
                <c:pt idx="66">
                  <c:v>12.135167958223752</c:v>
                </c:pt>
                <c:pt idx="67">
                  <c:v>12.001181229227678</c:v>
                </c:pt>
                <c:pt idx="68">
                  <c:v>11.869889356820016</c:v>
                </c:pt>
                <c:pt idx="69">
                  <c:v>11.740698981469155</c:v>
                </c:pt>
                <c:pt idx="70">
                  <c:v>11.613005657928374</c:v>
                </c:pt>
                <c:pt idx="71">
                  <c:v>11.486197076373269</c:v>
                </c:pt>
                <c:pt idx="72">
                  <c:v>11.359656226093655</c:v>
                </c:pt>
                <c:pt idx="73">
                  <c:v>11.232764521406249</c:v>
                </c:pt>
                <c:pt idx="74">
                  <c:v>11.104904914334391</c:v>
                </c:pt>
                <c:pt idx="75">
                  <c:v>10.975465020165842</c:v>
                </c:pt>
                <c:pt idx="76">
                  <c:v>10.843840280143766</c:v>
                </c:pt>
                <c:pt idx="77">
                  <c:v>10.709437180388342</c:v>
                </c:pt>
                <c:pt idx="78">
                  <c:v>10.571676537933939</c:v>
                </c:pt>
                <c:pt idx="79">
                  <c:v>10.429996853943056</c:v>
                </c:pt>
                <c:pt idx="80">
                  <c:v>10.283857721332728</c:v>
                </c:pt>
                <c:pt idx="81">
                  <c:v>10.132743259980387</c:v>
                </c:pt>
                <c:pt idx="82">
                  <c:v>9.9761655382642793</c:v>
                </c:pt>
                <c:pt idx="83">
                  <c:v>9.8136679259496784</c:v>
                </c:pt>
                <c:pt idx="84">
                  <c:v>9.6448283113849627</c:v>
                </c:pt>
                <c:pt idx="85">
                  <c:v>9.4692621066669318</c:v>
                </c:pt>
                <c:pt idx="86">
                  <c:v>9.2866249587640723</c:v>
                </c:pt>
                <c:pt idx="87">
                  <c:v>9.0966150833021882</c:v>
                </c:pt>
                <c:pt idx="88">
                  <c:v>8.8989751412360167</c:v>
                </c:pt>
                <c:pt idx="89">
                  <c:v>8.6934935870892378</c:v>
                </c:pt>
                <c:pt idx="90">
                  <c:v>8.4800054305444554</c:v>
                </c:pt>
                <c:pt idx="91">
                  <c:v>8.2583923702707178</c:v>
                </c:pt>
                <c:pt idx="92">
                  <c:v>8.0285822789841035</c:v>
                </c:pt>
                <c:pt idx="93">
                  <c:v>7.790548040595703</c:v>
                </c:pt>
                <c:pt idx="94">
                  <c:v>7.5443057625147496</c:v>
                </c:pt>
                <c:pt idx="95">
                  <c:v>7.2899124073040706</c:v>
                </c:pt>
                <c:pt idx="96">
                  <c:v>7.0274629066324126</c:v>
                </c:pt>
                <c:pt idx="97">
                  <c:v>6.7570868357375762</c:v>
                </c:pt>
                <c:pt idx="98">
                  <c:v>6.4789447376280087</c:v>
                </c:pt>
                <c:pt idx="99">
                  <c:v>6.1932241926140819</c:v>
                </c:pt>
                <c:pt idx="100">
                  <c:v>5.9001357304099518</c:v>
                </c:pt>
                <c:pt idx="101">
                  <c:v>5.5999086793032546</c:v>
                </c:pt>
                <c:pt idx="102">
                  <c:v>5.2927870403136881</c:v>
                </c:pt>
                <c:pt idx="103">
                  <c:v>4.9790254646246517</c:v>
                </c:pt>
                <c:pt idx="104">
                  <c:v>4.6588854007572413</c:v>
                </c:pt>
                <c:pt idx="105">
                  <c:v>4.3326314648467168</c:v>
                </c:pt>
                <c:pt idx="106">
                  <c:v>4.0005280738276348</c:v>
                </c:pt>
                <c:pt idx="107">
                  <c:v>3.6628363680669249</c:v>
                </c:pt>
                <c:pt idx="108">
                  <c:v>3.3198114375886707</c:v>
                </c:pt>
                <c:pt idx="109">
                  <c:v>2.9716998549547657</c:v>
                </c:pt>
                <c:pt idx="110">
                  <c:v>2.6187375083584286</c:v>
                </c:pt>
                <c:pt idx="111">
                  <c:v>2.2611477207099551</c:v>
                </c:pt>
                <c:pt idx="112">
                  <c:v>1.8991396344305598</c:v>
                </c:pt>
                <c:pt idx="113">
                  <c:v>1.5329068372711863</c:v>
                </c:pt>
                <c:pt idx="114">
                  <c:v>1.1626262015604678</c:v>
                </c:pt>
                <c:pt idx="115">
                  <c:v>0.78845690769970567</c:v>
                </c:pt>
                <c:pt idx="116">
                  <c:v>0.41053962223514562</c:v>
                </c:pt>
                <c:pt idx="117">
                  <c:v>2.8995801257941378E-2</c:v>
                </c:pt>
                <c:pt idx="118">
                  <c:v>-0.35607290900862459</c:v>
                </c:pt>
                <c:pt idx="119">
                  <c:v>-0.74458520092350422</c:v>
                </c:pt>
                <c:pt idx="120">
                  <c:v>-1.1364805879252078</c:v>
                </c:pt>
                <c:pt idx="121">
                  <c:v>-1.5317198630200226</c:v>
                </c:pt>
                <c:pt idx="122">
                  <c:v>-1.9302855530534995</c:v>
                </c:pt>
                <c:pt idx="123">
                  <c:v>-2.3321823860454569</c:v>
                </c:pt>
                <c:pt idx="124">
                  <c:v>-2.7374377863302679</c:v>
                </c:pt>
                <c:pt idx="125">
                  <c:v>-3.1461024096714345</c:v>
                </c:pt>
                <c:pt idx="126">
                  <c:v>-3.5582507279585736</c:v>
                </c:pt>
                <c:pt idx="127">
                  <c:v>-3.9739816704962623</c:v>
                </c:pt>
                <c:pt idx="128">
                  <c:v>-4.3934193262724488</c:v>
                </c:pt>
                <c:pt idx="129">
                  <c:v>-4.8167137088977743</c:v>
                </c:pt>
                <c:pt idx="130">
                  <c:v>-5.2440415831147105</c:v>
                </c:pt>
                <c:pt idx="131">
                  <c:v>-5.675607348848831</c:v>
                </c:pt>
                <c:pt idx="132">
                  <c:v>-6.1116439756726386</c:v>
                </c:pt>
                <c:pt idx="133">
                  <c:v>-6.5524139772517085</c:v>
                </c:pt>
                <c:pt idx="134">
                  <c:v>-6.9982104118159514</c:v>
                </c:pt>
                <c:pt idx="135">
                  <c:v>-7.4493578909266267</c:v>
                </c:pt>
                <c:pt idx="136">
                  <c:v>-7.9062135748083193</c:v>
                </c:pt>
                <c:pt idx="137">
                  <c:v>-8.3691681282880239</c:v>
                </c:pt>
                <c:pt idx="138">
                  <c:v>-8.8386466069948675</c:v>
                </c:pt>
                <c:pt idx="139">
                  <c:v>-9.3151092389857233</c:v>
                </c:pt>
                <c:pt idx="140">
                  <c:v>-9.799052062489185</c:v>
                </c:pt>
                <c:pt idx="141">
                  <c:v>-10.291007376147865</c:v>
                </c:pt>
                <c:pt idx="142">
                  <c:v>-10.791543954171981</c:v>
                </c:pt>
                <c:pt idx="143">
                  <c:v>-11.301266975415917</c:v>
                </c:pt>
                <c:pt idx="144">
                  <c:v>-11.820817612819482</c:v>
                </c:pt>
                <c:pt idx="145">
                  <c:v>-12.350872228207908</c:v>
                </c:pt>
                <c:pt idx="146">
                  <c:v>-12.892141117415834</c:v>
                </c:pt>
                <c:pt idx="147">
                  <c:v>-13.445366752423036</c:v>
                </c:pt>
                <c:pt idx="148">
                  <c:v>-14.011321470938558</c:v>
                </c:pt>
                <c:pt idx="149">
                  <c:v>-14.590804569907547</c:v>
                </c:pt>
                <c:pt idx="150">
                  <c:v>-15.184638767923779</c:v>
                </c:pt>
                <c:pt idx="151">
                  <c:v>-15.793666012588869</c:v>
                </c:pt>
                <c:pt idx="152">
                  <c:v>-16.418742622433161</c:v>
                </c:pt>
                <c:pt idx="153">
                  <c:v>-17.060733768913977</c:v>
                </c:pt>
                <c:pt idx="154">
                  <c:v>-17.720507321894502</c:v>
                </c:pt>
                <c:pt idx="155">
                  <c:v>-18.398927101385315</c:v>
                </c:pt>
                <c:pt idx="156">
                  <c:v>-19.096845598558701</c:v>
                </c:pt>
                <c:pt idx="157">
                  <c:v>-19.815096249367937</c:v>
                </c:pt>
                <c:pt idx="158">
                  <c:v>-20.554485363707194</c:v>
                </c:pt>
                <c:pt idx="159">
                  <c:v>-21.315783831049519</c:v>
                </c:pt>
                <c:pt idx="160">
                  <c:v>-22.099718739117037</c:v>
                </c:pt>
                <c:pt idx="161">
                  <c:v>-22.906965054566513</c:v>
                </c:pt>
                <c:pt idx="162">
                  <c:v>-23.738137523321576</c:v>
                </c:pt>
                <c:pt idx="163">
                  <c:v>-24.593782952499723</c:v>
                </c:pt>
                <c:pt idx="164">
                  <c:v>-25.47437303555499</c:v>
                </c:pt>
                <c:pt idx="165">
                  <c:v>-26.380297877060855</c:v>
                </c:pt>
                <c:pt idx="166">
                  <c:v>-27.31186036345656</c:v>
                </c:pt>
                <c:pt idx="167">
                  <c:v>-28.269271511162401</c:v>
                </c:pt>
                <c:pt idx="168">
                  <c:v>-29.252646903995796</c:v>
                </c:pt>
                <c:pt idx="169">
                  <c:v>-30.262004308163522</c:v>
                </c:pt>
                <c:pt idx="170">
                  <c:v>-31.297262525866461</c:v>
                </c:pt>
                <c:pt idx="171">
                  <c:v>-32.358241518440074</c:v>
                </c:pt>
                <c:pt idx="172">
                  <c:v>-33.444663797955954</c:v>
                </c:pt>
                <c:pt idx="173">
                  <c:v>-34.55615705338181</c:v>
                </c:pt>
                <c:pt idx="174">
                  <c:v>-35.692257945069684</c:v>
                </c:pt>
                <c:pt idx="175">
                  <c:v>-36.852416970804185</c:v>
                </c:pt>
                <c:pt idx="176">
                  <c:v>-38.03600427930715</c:v>
                </c:pt>
                <c:pt idx="177">
                  <c:v>-39.242316284187851</c:v>
                </c:pt>
                <c:pt idx="178">
                  <c:v>-40.470582913948405</c:v>
                </c:pt>
                <c:pt idx="179">
                  <c:v>-41.719975322576119</c:v>
                </c:pt>
                <c:pt idx="180">
                  <c:v>-42.98961388090629</c:v>
                </c:pt>
                <c:pt idx="181">
                  <c:v>-44.278576271361828</c:v>
                </c:pt>
                <c:pt idx="182">
                  <c:v>-45.585905517508955</c:v>
                </c:pt>
                <c:pt idx="183">
                  <c:v>-46.910617794392337</c:v>
                </c:pt>
                <c:pt idx="184">
                  <c:v>-48.251709884843166</c:v>
                </c:pt>
                <c:pt idx="185">
                  <c:v>-49.608166169698926</c:v>
                </c:pt>
                <c:pt idx="186">
                  <c:v>-50.97896506484976</c:v>
                </c:pt>
                <c:pt idx="187">
                  <c:v>-52.363084843982044</c:v>
                </c:pt>
                <c:pt idx="188">
                  <c:v>-53.759508811629395</c:v>
                </c:pt>
                <c:pt idx="189">
                  <c:v>-55.167229815671462</c:v>
                </c:pt>
                <c:pt idx="190">
                  <c:v>-56.585254110914143</c:v>
                </c:pt>
                <c:pt idx="191">
                  <c:v>-58.012604605239105</c:v>
                </c:pt>
                <c:pt idx="192">
                  <c:v>-59.448323536651166</c:v>
                </c:pt>
                <c:pt idx="193">
                  <c:v>-60.89147464315748</c:v>
                </c:pt>
                <c:pt idx="194">
                  <c:v>-62.341144897739973</c:v>
                </c:pt>
                <c:pt idx="195">
                  <c:v>-63.796445887789808</c:v>
                </c:pt>
                <c:pt idx="196">
                  <c:v>-65.256514922391432</c:v>
                </c:pt>
                <c:pt idx="197">
                  <c:v>-66.720515951928633</c:v>
                </c:pt>
                <c:pt idx="198">
                  <c:v>-68.187640382832186</c:v>
                </c:pt>
                <c:pt idx="199">
                  <c:v>-69.657107866023253</c:v>
                </c:pt>
                <c:pt idx="200">
                  <c:v>-71.128167130906647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43872"/>
        <c:axId val="94946048"/>
      </c:scatterChart>
      <c:valAx>
        <c:axId val="94943872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46048"/>
        <c:crosses val="autoZero"/>
        <c:crossBetween val="midCat"/>
      </c:valAx>
      <c:valAx>
        <c:axId val="9494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43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93704328274311"/>
          <c:y val="2.5280789781945517E-2"/>
          <c:w val="0.26363125351320965"/>
          <c:h val="0.16292134127625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2784830285748E-2"/>
          <c:y val="7.3033707865168537E-2"/>
          <c:w val="0.86423910925786851"/>
          <c:h val="0.8567415730337079"/>
        </c:manualLayout>
      </c:layout>
      <c:scatterChart>
        <c:scatterStyle val="smoothMarker"/>
        <c:varyColors val="0"/>
        <c:ser>
          <c:idx val="3"/>
          <c:order val="0"/>
          <c:tx>
            <c:v> T(s) Phase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179.0261350854561</c:v>
                </c:pt>
                <c:pt idx="1">
                  <c:v>178.98024632411381</c:v>
                </c:pt>
                <c:pt idx="2">
                  <c:v>178.93219608858178</c:v>
                </c:pt>
                <c:pt idx="3">
                  <c:v>178.88188268891051</c:v>
                </c:pt>
                <c:pt idx="4">
                  <c:v>178.82919966888275</c:v>
                </c:pt>
                <c:pt idx="5">
                  <c:v>178.7740355852674</c:v>
                </c:pt>
                <c:pt idx="6">
                  <c:v>178.71627377724388</c:v>
                </c:pt>
                <c:pt idx="7">
                  <c:v>178.65579212561801</c:v>
                </c:pt>
                <c:pt idx="8">
                  <c:v>178.59246280144558</c:v>
                </c:pt>
                <c:pt idx="9">
                  <c:v>178.52615200367603</c:v>
                </c:pt>
                <c:pt idx="10">
                  <c:v>178.45671968542592</c:v>
                </c:pt>
                <c:pt idx="11">
                  <c:v>178.38401926849355</c:v>
                </c:pt>
                <c:pt idx="12">
                  <c:v>178.30789734572795</c:v>
                </c:pt>
                <c:pt idx="13">
                  <c:v>178.22819337087293</c:v>
                </c:pt>
                <c:pt idx="14">
                  <c:v>178.14473933551616</c:v>
                </c:pt>
                <c:pt idx="15">
                  <c:v>178.05735943278933</c:v>
                </c:pt>
                <c:pt idx="16">
                  <c:v>177.9658697074843</c:v>
                </c:pt>
                <c:pt idx="17">
                  <c:v>177.87007769227776</c:v>
                </c:pt>
                <c:pt idx="18">
                  <c:v>177.76978202979043</c:v>
                </c:pt>
                <c:pt idx="19">
                  <c:v>177.66477208024861</c:v>
                </c:pt>
                <c:pt idx="20">
                  <c:v>177.55482751456944</c:v>
                </c:pt>
                <c:pt idx="21">
                  <c:v>177.439717892754</c:v>
                </c:pt>
                <c:pt idx="22">
                  <c:v>177.31920222754925</c:v>
                </c:pt>
                <c:pt idx="23">
                  <c:v>177.19302853343379</c:v>
                </c:pt>
                <c:pt idx="24">
                  <c:v>177.06093336108984</c:v>
                </c:pt>
                <c:pt idx="25">
                  <c:v>176.92264131765651</c:v>
                </c:pt>
                <c:pt idx="26">
                  <c:v>176.77786457321079</c:v>
                </c:pt>
                <c:pt idx="27">
                  <c:v>176.6263023541043</c:v>
                </c:pt>
                <c:pt idx="28">
                  <c:v>176.46764042399198</c:v>
                </c:pt>
                <c:pt idx="29">
                  <c:v>176.30155055363605</c:v>
                </c:pt>
                <c:pt idx="30">
                  <c:v>176.12768998084977</c:v>
                </c:pt>
                <c:pt idx="31">
                  <c:v>175.9457008622764</c:v>
                </c:pt>
                <c:pt idx="32">
                  <c:v>175.75520971907557</c:v>
                </c:pt>
                <c:pt idx="33">
                  <c:v>175.55582687902597</c:v>
                </c:pt>
                <c:pt idx="34">
                  <c:v>175.34714591805346</c:v>
                </c:pt>
                <c:pt idx="35">
                  <c:v>175.12874310476269</c:v>
                </c:pt>
                <c:pt idx="36">
                  <c:v>174.90017685220573</c:v>
                </c:pt>
                <c:pt idx="37">
                  <c:v>174.66098718185967</c:v>
                </c:pt>
                <c:pt idx="38">
                  <c:v>174.41069520562661</c:v>
                </c:pt>
                <c:pt idx="39">
                  <c:v>174.1488026326214</c:v>
                </c:pt>
                <c:pt idx="40">
                  <c:v>173.87479130858043</c:v>
                </c:pt>
                <c:pt idx="41">
                  <c:v>173.5881227969312</c:v>
                </c:pt>
                <c:pt idx="42">
                  <c:v>173.28823801190282</c:v>
                </c:pt>
                <c:pt idx="43">
                  <c:v>172.97455691555996</c:v>
                </c:pt>
                <c:pt idx="44">
                  <c:v>172.64647829230194</c:v>
                </c:pt>
                <c:pt idx="45">
                  <c:v>172.30337961619963</c:v>
                </c:pt>
                <c:pt idx="46">
                  <c:v>171.94461702855557</c:v>
                </c:pt>
                <c:pt idx="47">
                  <c:v>171.56952544525558</c:v>
                </c:pt>
                <c:pt idx="48">
                  <c:v>171.17741881585113</c:v>
                </c:pt>
                <c:pt idx="49">
                  <c:v>170.76759055884085</c:v>
                </c:pt>
                <c:pt idx="50">
                  <c:v>170.33931420030558</c:v>
                </c:pt>
                <c:pt idx="51">
                  <c:v>169.89184424586099</c:v>
                </c:pt>
                <c:pt idx="52">
                  <c:v>169.42441731878066</c:v>
                </c:pt>
                <c:pt idx="53">
                  <c:v>168.93625360006064</c:v>
                </c:pt>
                <c:pt idx="54">
                  <c:v>168.42655860905955</c:v>
                </c:pt>
                <c:pt idx="55">
                  <c:v>167.89452536605887</c:v>
                </c:pt>
                <c:pt idx="56">
                  <c:v>167.33933698051442</c:v>
                </c:pt>
                <c:pt idx="57">
                  <c:v>166.76016971074938</c:v>
                </c:pt>
                <c:pt idx="58">
                  <c:v>166.15619654217852</c:v>
                </c:pt>
                <c:pt idx="59">
                  <c:v>165.52659133159813</c:v>
                </c:pt>
                <c:pt idx="60">
                  <c:v>164.87053356436891</c:v>
                </c:pt>
                <c:pt idx="61">
                  <c:v>164.18721376910878</c:v>
                </c:pt>
                <c:pt idx="62">
                  <c:v>163.47583963044846</c:v>
                </c:pt>
                <c:pt idx="63">
                  <c:v>162.73564283408007</c:v>
                </c:pt>
                <c:pt idx="64">
                  <c:v>161.96588666931038</c:v>
                </c:pt>
                <c:pt idx="65">
                  <c:v>161.16587440218623</c:v>
                </c:pt>
                <c:pt idx="66">
                  <c:v>160.33495841656665</c:v>
                </c:pt>
                <c:pt idx="67">
                  <c:v>159.47255010088895</c:v>
                </c:pt>
                <c:pt idx="68">
                  <c:v>158.57813043455187</c:v>
                </c:pt>
                <c:pt idx="69">
                  <c:v>157.6512611996485</c:v>
                </c:pt>
                <c:pt idx="70">
                  <c:v>156.69159671131368</c:v>
                </c:pt>
                <c:pt idx="71">
                  <c:v>155.69889592352109</c:v>
                </c:pt>
                <c:pt idx="72">
                  <c:v>154.67303472747227</c:v>
                </c:pt>
                <c:pt idx="73">
                  <c:v>153.61401821781175</c:v>
                </c:pt>
                <c:pt idx="74">
                  <c:v>152.52199265937918</c:v>
                </c:pt>
                <c:pt idx="75">
                  <c:v>151.39725684604332</c:v>
                </c:pt>
                <c:pt idx="76">
                  <c:v>150.24027250590768</c:v>
                </c:pt>
                <c:pt idx="77">
                  <c:v>149.0516733767555</c:v>
                </c:pt>
                <c:pt idx="78">
                  <c:v>147.83227255521189</c:v>
                </c:pt>
                <c:pt idx="79">
                  <c:v>146.58306771611998</c:v>
                </c:pt>
                <c:pt idx="80">
                  <c:v>145.30524380817815</c:v>
                </c:pt>
                <c:pt idx="81">
                  <c:v>144.00017286072827</c:v>
                </c:pt>
                <c:pt idx="82">
                  <c:v>142.66941058652418</c:v>
                </c:pt>
                <c:pt idx="83">
                  <c:v>141.31468953707429</c:v>
                </c:pt>
                <c:pt idx="84">
                  <c:v>139.93790865988939</c:v>
                </c:pt>
                <c:pt idx="85">
                  <c:v>138.54111921811878</c:v>
                </c:pt>
                <c:pt idx="86">
                  <c:v>137.12650715828494</c:v>
                </c:pt>
                <c:pt idx="87">
                  <c:v>135.69637214509416</c:v>
                </c:pt>
                <c:pt idx="88">
                  <c:v>134.25310361621939</c:v>
                </c:pt>
                <c:pt idx="89">
                  <c:v>132.79915433631467</c:v>
                </c:pt>
                <c:pt idx="90">
                  <c:v>131.33701203999055</c:v>
                </c:pt>
                <c:pt idx="91">
                  <c:v>129.86916984031589</c:v>
                </c:pt>
                <c:pt idx="92">
                  <c:v>128.39809613635572</c:v>
                </c:pt>
                <c:pt idx="93">
                  <c:v>126.92620477600271</c:v>
                </c:pt>
                <c:pt idx="94">
                  <c:v>125.45582621728707</c:v>
                </c:pt>
                <c:pt idx="95">
                  <c:v>123.98918038335266</c:v>
                </c:pt>
                <c:pt idx="96">
                  <c:v>122.52835182706264</c:v>
                </c:pt>
                <c:pt idx="97">
                  <c:v>121.07526771650541</c:v>
                </c:pt>
                <c:pt idx="98">
                  <c:v>119.63167902993939</c:v>
                </c:pt>
                <c:pt idx="99">
                  <c:v>118.19914521622397</c:v>
                </c:pt>
                <c:pt idx="100">
                  <c:v>116.77902244281265</c:v>
                </c:pt>
                <c:pt idx="101">
                  <c:v>115.3724554256665</c:v>
                </c:pt>
                <c:pt idx="102">
                  <c:v>113.98037272035641</c:v>
                </c:pt>
                <c:pt idx="103">
                  <c:v>112.60348525603864</c:v>
                </c:pt>
                <c:pt idx="104">
                  <c:v>111.24228781691396</c:v>
                </c:pt>
                <c:pt idx="105">
                  <c:v>109.8970631205337</c:v>
                </c:pt>
                <c:pt idx="106">
                  <c:v>108.56788810856942</c:v>
                </c:pt>
                <c:pt idx="107">
                  <c:v>107.25464205186228</c:v>
                </c:pt>
                <c:pt idx="108">
                  <c:v>105.9570160752199</c:v>
                </c:pt>
                <c:pt idx="109">
                  <c:v>104.67452372541999</c:v>
                </c:pt>
                <c:pt idx="110">
                  <c:v>103.40651223496761</c:v>
                </c:pt>
                <c:pt idx="111">
                  <c:v>102.15217417101955</c:v>
                </c:pt>
                <c:pt idx="112">
                  <c:v>100.91055920056382</c:v>
                </c:pt>
                <c:pt idx="113">
                  <c:v>99.68058574678119</c:v>
                </c:pt>
                <c:pt idx="114">
                  <c:v>98.461052355409521</c:v>
                </c:pt>
                <c:pt idx="115">
                  <c:v>97.250648632171774</c:v>
                </c:pt>
                <c:pt idx="116">
                  <c:v>96.047965651772969</c:v>
                </c:pt>
                <c:pt idx="117">
                  <c:v>94.851505774839538</c:v>
                </c:pt>
                <c:pt idx="118">
                  <c:v>93.659691841042289</c:v>
                </c:pt>
                <c:pt idx="119">
                  <c:v>92.47087573442974</c:v>
                </c:pt>
                <c:pt idx="120">
                  <c:v>91.28334634075874</c:v>
                </c:pt>
                <c:pt idx="121">
                  <c:v>90.095336936646476</c:v>
                </c:pt>
                <c:pt idx="122">
                  <c:v>88.905032066969724</c:v>
                </c:pt>
                <c:pt idx="123">
                  <c:v>87.710573980565684</c:v>
                </c:pt>
                <c:pt idx="124">
                  <c:v>86.510068705291758</c:v>
                </c:pt>
                <c:pt idx="125">
                  <c:v>85.301591852313138</c:v>
                </c:pt>
                <c:pt idx="126">
                  <c:v>84.083194246415516</c:v>
                </c:pt>
                <c:pt idx="127">
                  <c:v>82.852907484499553</c:v>
                </c:pt>
                <c:pt idx="128">
                  <c:v>81.60874952840058</c:v>
                </c:pt>
                <c:pt idx="129">
                  <c:v>80.348730440943413</c:v>
                </c:pt>
                <c:pt idx="130">
                  <c:v>79.07085837573527</c:v>
                </c:pt>
                <c:pt idx="131">
                  <c:v>77.773145931601093</c:v>
                </c:pt>
                <c:pt idx="132">
                  <c:v>76.453616981647983</c:v>
                </c:pt>
                <c:pt idx="133">
                  <c:v>75.110314084518848</c:v>
                </c:pt>
                <c:pt idx="134">
                  <c:v>73.741306581190557</c:v>
                </c:pt>
                <c:pt idx="135">
                  <c:v>72.344699474305443</c:v>
                </c:pt>
                <c:pt idx="136">
                  <c:v>70.91864317813517</c:v>
                </c:pt>
                <c:pt idx="137">
                  <c:v>69.461344215340773</c:v>
                </c:pt>
                <c:pt idx="138">
                  <c:v>67.97107692131074</c:v>
                </c:pt>
                <c:pt idx="139">
                  <c:v>66.446196197485406</c:v>
                </c:pt>
                <c:pt idx="140">
                  <c:v>64.885151331364256</c:v>
                </c:pt>
                <c:pt idx="141">
                  <c:v>63.286500872471223</c:v>
                </c:pt>
                <c:pt idx="142">
                  <c:v>61.648928520325157</c:v>
                </c:pt>
                <c:pt idx="143">
                  <c:v>59.971259942453059</c:v>
                </c:pt>
                <c:pt idx="144">
                  <c:v>58.252480398083875</c:v>
                </c:pt>
                <c:pt idx="145">
                  <c:v>56.491752997122674</c:v>
                </c:pt>
                <c:pt idx="146">
                  <c:v>54.688437375423149</c:v>
                </c:pt>
                <c:pt idx="147">
                  <c:v>52.842108517920266</c:v>
                </c:pt>
                <c:pt idx="148">
                  <c:v>50.952575412856135</c:v>
                </c:pt>
                <c:pt idx="149">
                  <c:v>49.019899175657741</c:v>
                </c:pt>
                <c:pt idx="150">
                  <c:v>47.044410242764144</c:v>
                </c:pt>
                <c:pt idx="151">
                  <c:v>45.026724206850105</c:v>
                </c:pt>
                <c:pt idx="152">
                  <c:v>42.96775584836422</c:v>
                </c:pt>
                <c:pt idx="153">
                  <c:v>40.868730916694375</c:v>
                </c:pt>
                <c:pt idx="154">
                  <c:v>38.731195229631112</c:v>
                </c:pt>
                <c:pt idx="155">
                  <c:v>36.557020693187724</c:v>
                </c:pt>
                <c:pt idx="156">
                  <c:v>34.348407895281298</c:v>
                </c:pt>
                <c:pt idx="157">
                  <c:v>32.107884994922983</c:v>
                </c:pt>
                <c:pt idx="158">
                  <c:v>29.838302710779459</c:v>
                </c:pt>
                <c:pt idx="159">
                  <c:v>27.542825305395468</c:v>
                </c:pt>
                <c:pt idx="160">
                  <c:v>25.224917559319039</c:v>
                </c:pt>
                <c:pt idx="161">
                  <c:v>22.888327827612386</c:v>
                </c:pt>
                <c:pt idx="162">
                  <c:v>20.537067364731115</c:v>
                </c:pt>
                <c:pt idx="163">
                  <c:v>18.175386188089306</c:v>
                </c:pt>
                <c:pt idx="164">
                  <c:v>15.80774582247642</c:v>
                </c:pt>
                <c:pt idx="165">
                  <c:v>13.438789325125242</c:v>
                </c:pt>
                <c:pt idx="166">
                  <c:v>11.07330903433251</c:v>
                </c:pt>
                <c:pt idx="167">
                  <c:v>8.7162125143837272</c:v>
                </c:pt>
                <c:pt idx="168">
                  <c:v>6.372487188196402</c:v>
                </c:pt>
                <c:pt idx="169">
                  <c:v>4.0471641593562708</c:v>
                </c:pt>
                <c:pt idx="170">
                  <c:v>1.7452817294121132</c:v>
                </c:pt>
                <c:pt idx="171">
                  <c:v>-0.52815088376016206</c:v>
                </c:pt>
                <c:pt idx="172">
                  <c:v>-2.7681891244973258</c:v>
                </c:pt>
                <c:pt idx="173">
                  <c:v>-4.969987480889074</c:v>
                </c:pt>
                <c:pt idx="174">
                  <c:v>-7.1288321897190201</c:v>
                </c:pt>
                <c:pt idx="175">
                  <c:v>-9.240171808137859</c:v>
                </c:pt>
                <c:pt idx="176">
                  <c:v>-11.299645229634592</c:v>
                </c:pt>
                <c:pt idx="177">
                  <c:v>-13.30310676953053</c:v>
                </c:pt>
                <c:pt idx="178">
                  <c:v>-15.246648007405469</c:v>
                </c:pt>
                <c:pt idx="179">
                  <c:v>-17.126616150233758</c:v>
                </c:pt>
                <c:pt idx="180">
                  <c:v>-18.939628768606127</c:v>
                </c:pt>
                <c:pt idx="181">
                  <c:v>-20.682584855876826</c:v>
                </c:pt>
                <c:pt idx="182">
                  <c:v>-22.35267226173309</c:v>
                </c:pt>
                <c:pt idx="183">
                  <c:v>-23.947371652466785</c:v>
                </c:pt>
                <c:pt idx="184">
                  <c:v>-25.46445724461924</c:v>
                </c:pt>
                <c:pt idx="185">
                  <c:v>-26.901994641982668</c:v>
                </c:pt>
                <c:pt idx="186">
                  <c:v>-28.258336173964324</c:v>
                </c:pt>
                <c:pt idx="187">
                  <c:v>-29.532114183316082</c:v>
                </c:pt>
                <c:pt idx="188">
                  <c:v>-30.722232741602284</c:v>
                </c:pt>
                <c:pt idx="189">
                  <c:v>-31.827858281125089</c:v>
                </c:pt>
                <c:pt idx="190">
                  <c:v>-32.848409623220419</c:v>
                </c:pt>
                <c:pt idx="191">
                  <c:v>-33.783547856421904</c:v>
                </c:pt>
                <c:pt idx="192">
                  <c:v>-34.633166476231139</c:v>
                </c:pt>
                <c:pt idx="193">
                  <c:v>-35.397382143614237</c:v>
                </c:pt>
                <c:pt idx="194">
                  <c:v>-36.076526354540164</c:v>
                </c:pt>
                <c:pt idx="195">
                  <c:v>-36.671138240385488</c:v>
                </c:pt>
                <c:pt idx="196">
                  <c:v>-37.181958641281142</c:v>
                </c:pt>
                <c:pt idx="197">
                  <c:v>-37.609925513622471</c:v>
                </c:pt>
                <c:pt idx="198">
                  <c:v>-37.956170651045682</c:v>
                </c:pt>
                <c:pt idx="199">
                  <c:v>-38.22201761710221</c:v>
                </c:pt>
                <c:pt idx="200">
                  <c:v>-38.408980709596847</c:v>
                </c:pt>
              </c:numCache>
            </c:numRef>
          </c:yVal>
          <c:smooth val="1"/>
        </c:ser>
        <c:ser>
          <c:idx val="0"/>
          <c:order val="1"/>
          <c:tx>
            <c:v> Ti(s) Phase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Compensation!$Z$64:$Z$264</c:f>
              <c:numCache>
                <c:formatCode>General</c:formatCode>
                <c:ptCount val="201"/>
                <c:pt idx="0">
                  <c:v>-178.36726197010719</c:v>
                </c:pt>
                <c:pt idx="1">
                  <c:v>-178.29037411272628</c:v>
                </c:pt>
                <c:pt idx="2">
                  <c:v>-178.2098716291967</c:v>
                </c:pt>
                <c:pt idx="3">
                  <c:v>-178.12558549674608</c:v>
                </c:pt>
                <c:pt idx="4">
                  <c:v>-178.03733892319406</c:v>
                </c:pt>
                <c:pt idx="5">
                  <c:v>-177.94494700974417</c:v>
                </c:pt>
                <c:pt idx="6">
                  <c:v>-177.84821640213701</c:v>
                </c:pt>
                <c:pt idx="7">
                  <c:v>-177.74694493023537</c:v>
                </c:pt>
                <c:pt idx="8">
                  <c:v>-177.64092123620742</c:v>
                </c:pt>
                <c:pt idx="9">
                  <c:v>-177.5299243915818</c:v>
                </c:pt>
                <c:pt idx="10">
                  <c:v>-177.41372350357969</c:v>
                </c:pt>
                <c:pt idx="11">
                  <c:v>-177.2920773112794</c:v>
                </c:pt>
                <c:pt idx="12">
                  <c:v>-177.16473377234706</c:v>
                </c:pt>
                <c:pt idx="13">
                  <c:v>-177.03142964127377</c:v>
                </c:pt>
                <c:pt idx="14">
                  <c:v>-176.8918900402991</c:v>
                </c:pt>
                <c:pt idx="15">
                  <c:v>-176.74582802447856</c:v>
                </c:pt>
                <c:pt idx="16">
                  <c:v>-176.59294414267404</c:v>
                </c:pt>
                <c:pt idx="17">
                  <c:v>-176.43292599661493</c:v>
                </c:pt>
                <c:pt idx="18">
                  <c:v>-176.26544780060246</c:v>
                </c:pt>
                <c:pt idx="19">
                  <c:v>-176.09016994491606</c:v>
                </c:pt>
                <c:pt idx="20">
                  <c:v>-175.90673856653666</c:v>
                </c:pt>
                <c:pt idx="21">
                  <c:v>-175.71478513143595</c:v>
                </c:pt>
                <c:pt idx="22">
                  <c:v>-175.51392603340076</c:v>
                </c:pt>
                <c:pt idx="23">
                  <c:v>-175.30376221518202</c:v>
                </c:pt>
                <c:pt idx="24">
                  <c:v>-175.08387881867947</c:v>
                </c:pt>
                <c:pt idx="25">
                  <c:v>-174.85384487192098</c:v>
                </c:pt>
                <c:pt idx="26">
                  <c:v>-174.6132130217635</c:v>
                </c:pt>
                <c:pt idx="27">
                  <c:v>-174.36151932256135</c:v>
                </c:pt>
                <c:pt idx="28">
                  <c:v>-174.09828309250963</c:v>
                </c:pt>
                <c:pt idx="29">
                  <c:v>-173.82300685100304</c:v>
                </c:pt>
                <c:pt idx="30">
                  <c:v>-173.53517635215047</c:v>
                </c:pt>
                <c:pt idx="31">
                  <c:v>-173.23426073156929</c:v>
                </c:pt>
                <c:pt idx="32">
                  <c:v>-172.91971278575033</c:v>
                </c:pt>
                <c:pt idx="33">
                  <c:v>-172.59096940564092</c:v>
                </c:pt>
                <c:pt idx="34">
                  <c:v>-172.24745218863001</c:v>
                </c:pt>
                <c:pt idx="35">
                  <c:v>-171.88856825582354</c:v>
                </c:pt>
                <c:pt idx="36">
                  <c:v>-171.51371130436382</c:v>
                </c:pt>
                <c:pt idx="37">
                  <c:v>-171.12226292751521</c:v>
                </c:pt>
                <c:pt idx="38">
                  <c:v>-170.71359423828696</c:v>
                </c:pt>
                <c:pt idx="39">
                  <c:v>-170.28706783541867</c:v>
                </c:pt>
                <c:pt idx="40">
                  <c:v>-169.84204015351847</c:v>
                </c:pt>
                <c:pt idx="41">
                  <c:v>-169.37786424192626</c:v>
                </c:pt>
                <c:pt idx="42">
                  <c:v>-168.89389301930737</c:v>
                </c:pt>
                <c:pt idx="43">
                  <c:v>-168.3894830529137</c:v>
                </c:pt>
                <c:pt idx="44">
                  <c:v>-167.86399891264674</c:v>
                </c:pt>
                <c:pt idx="45">
                  <c:v>-167.31681815026843</c:v>
                </c:pt>
                <c:pt idx="46">
                  <c:v>-166.74733695305142</c:v>
                </c:pt>
                <c:pt idx="47">
                  <c:v>-166.15497651846243</c:v>
                </c:pt>
                <c:pt idx="48">
                  <c:v>-165.53919019180626</c:v>
                </c:pt>
                <c:pt idx="49">
                  <c:v>-164.89947140166598</c:v>
                </c:pt>
                <c:pt idx="50">
                  <c:v>-164.23536241806835</c:v>
                </c:pt>
                <c:pt idx="51">
                  <c:v>-163.54646394515729</c:v>
                </c:pt>
                <c:pt idx="52">
                  <c:v>-162.83244554338219</c:v>
                </c:pt>
                <c:pt idx="53">
                  <c:v>-162.09305685550109</c:v>
                </c:pt>
                <c:pt idx="54">
                  <c:v>-161.3281395858738</c:v>
                </c:pt>
                <c:pt idx="55">
                  <c:v>-160.53764015356535</c:v>
                </c:pt>
                <c:pt idx="56">
                  <c:v>-159.7216229069345</c:v>
                </c:pt>
                <c:pt idx="57">
                  <c:v>-158.88028375121124</c:v>
                </c:pt>
                <c:pt idx="58">
                  <c:v>-158.01396400201102</c:v>
                </c:pt>
                <c:pt idx="59">
                  <c:v>-157.12316423817768</c:v>
                </c:pt>
                <c:pt idx="60">
                  <c:v>-156.20855788872333</c:v>
                </c:pt>
                <c:pt idx="61">
                  <c:v>-155.27100425329616</c:v>
                </c:pt>
                <c:pt idx="62">
                  <c:v>-154.31156062648665</c:v>
                </c:pt>
                <c:pt idx="63">
                  <c:v>-153.33149317664436</c:v>
                </c:pt>
                <c:pt idx="64">
                  <c:v>-152.33228622325865</c:v>
                </c:pt>
                <c:pt idx="65">
                  <c:v>-151.31564956694609</c:v>
                </c:pt>
                <c:pt idx="66">
                  <c:v>-150.28352355599125</c:v>
                </c:pt>
                <c:pt idx="67">
                  <c:v>-149.23808162601492</c:v>
                </c:pt>
                <c:pt idx="68">
                  <c:v>-148.1817301265271</c:v>
                </c:pt>
                <c:pt idx="69">
                  <c:v>-147.11710535059311</c:v>
                </c:pt>
                <c:pt idx="70">
                  <c:v>-146.04706781081089</c:v>
                </c:pt>
                <c:pt idx="71">
                  <c:v>-144.97469395408672</c:v>
                </c:pt>
                <c:pt idx="72">
                  <c:v>-143.9032656756938</c:v>
                </c:pt>
                <c:pt idx="73">
                  <c:v>-142.83625817518191</c:v>
                </c:pt>
                <c:pt idx="74">
                  <c:v>-141.7773268879489</c:v>
                </c:pt>
                <c:pt idx="75">
                  <c:v>-140.73029442211075</c:v>
                </c:pt>
                <c:pt idx="76">
                  <c:v>-139.69913862791375</c:v>
                </c:pt>
                <c:pt idx="77">
                  <c:v>-138.68798312627803</c:v>
                </c:pt>
                <c:pt idx="78">
                  <c:v>-137.70109182856717</c:v>
                </c:pt>
                <c:pt idx="79">
                  <c:v>-136.74286920177533</c:v>
                </c:pt>
                <c:pt idx="80">
                  <c:v>-135.81786829029824</c:v>
                </c:pt>
                <c:pt idx="81">
                  <c:v>-134.93080882593546</c:v>
                </c:pt>
                <c:pt idx="82">
                  <c:v>-134.08660818372374</c:v>
                </c:pt>
                <c:pt idx="83">
                  <c:v>-133.29042853282527</c:v>
                </c:pt>
                <c:pt idx="84">
                  <c:v>-132.54774437446687</c:v>
                </c:pt>
                <c:pt idx="85">
                  <c:v>-131.86443587527953</c:v>
                </c:pt>
                <c:pt idx="86">
                  <c:v>-131.24691517210579</c:v>
                </c:pt>
                <c:pt idx="87">
                  <c:v>-130.70229540657738</c:v>
                </c:pt>
                <c:pt idx="88">
                  <c:v>-130.23861604195358</c:v>
                </c:pt>
                <c:pt idx="89">
                  <c:v>-129.86514363302825</c:v>
                </c:pt>
                <c:pt idx="90">
                  <c:v>-129.59277562350474</c:v>
                </c:pt>
                <c:pt idx="91">
                  <c:v>-129.43458747028669</c:v>
                </c:pt>
                <c:pt idx="92">
                  <c:v>-129.40658293851027</c:v>
                </c:pt>
                <c:pt idx="93">
                  <c:v>-129.52873790197415</c:v>
                </c:pt>
                <c:pt idx="94">
                  <c:v>-129.8264763393216</c:v>
                </c:pt>
                <c:pt idx="95">
                  <c:v>-130.33279516534432</c:v>
                </c:pt>
                <c:pt idx="96">
                  <c:v>-131.09138205706284</c:v>
                </c:pt>
                <c:pt idx="97">
                  <c:v>-132.16128125598328</c:v>
                </c:pt>
                <c:pt idx="98">
                  <c:v>-133.62401116324514</c:v>
                </c:pt>
                <c:pt idx="99">
                  <c:v>-135.59460254839297</c:v>
                </c:pt>
                <c:pt idx="100">
                  <c:v>-138.23887194863312</c:v>
                </c:pt>
                <c:pt idx="101">
                  <c:v>-141.80019479898061</c:v>
                </c:pt>
                <c:pt idx="102">
                  <c:v>-146.63866541322218</c:v>
                </c:pt>
                <c:pt idx="103">
                  <c:v>-153.2772807869552</c:v>
                </c:pt>
                <c:pt idx="104">
                  <c:v>-162.41059203423748</c:v>
                </c:pt>
                <c:pt idx="105">
                  <c:v>-174.71149687734757</c:v>
                </c:pt>
                <c:pt idx="106">
                  <c:v>169.86514752055569</c:v>
                </c:pt>
                <c:pt idx="107">
                  <c:v>153.01178488189612</c:v>
                </c:pt>
                <c:pt idx="108">
                  <c:v>137.48684205264152</c:v>
                </c:pt>
                <c:pt idx="109">
                  <c:v>125.00358535911693</c:v>
                </c:pt>
                <c:pt idx="110">
                  <c:v>115.62192747777172</c:v>
                </c:pt>
                <c:pt idx="111">
                  <c:v>108.67205908502545</c:v>
                </c:pt>
                <c:pt idx="112">
                  <c:v>103.45777188622306</c:v>
                </c:pt>
                <c:pt idx="113">
                  <c:v>99.453797258636428</c:v>
                </c:pt>
                <c:pt idx="114">
                  <c:v>96.298240640763225</c:v>
                </c:pt>
                <c:pt idx="115">
                  <c:v>93.746454194468953</c:v>
                </c:pt>
                <c:pt idx="116">
                  <c:v>91.631737865216465</c:v>
                </c:pt>
                <c:pt idx="117">
                  <c:v>89.838441236515237</c:v>
                </c:pt>
                <c:pt idx="118">
                  <c:v>88.284607819077365</c:v>
                </c:pt>
                <c:pt idx="119">
                  <c:v>86.9108883934951</c:v>
                </c:pt>
                <c:pt idx="120">
                  <c:v>85.673397100441633</c:v>
                </c:pt>
                <c:pt idx="121">
                  <c:v>84.53903290452935</c:v>
                </c:pt>
                <c:pt idx="122">
                  <c:v>83.482357081817881</c:v>
                </c:pt>
                <c:pt idx="123">
                  <c:v>82.483468235565937</c:v>
                </c:pt>
                <c:pt idx="124">
                  <c:v>81.526528392786034</c:v>
                </c:pt>
                <c:pt idx="125">
                  <c:v>80.59872197756215</c:v>
                </c:pt>
                <c:pt idx="126">
                  <c:v>79.689507833661366</c:v>
                </c:pt>
                <c:pt idx="127">
                  <c:v>78.790073085953409</c:v>
                </c:pt>
                <c:pt idx="128">
                  <c:v>77.892928293369636</c:v>
                </c:pt>
                <c:pt idx="129">
                  <c:v>76.991603020013528</c:v>
                </c:pt>
                <c:pt idx="130">
                  <c:v>76.080413790157138</c:v>
                </c:pt>
                <c:pt idx="131">
                  <c:v>75.154284911194239</c:v>
                </c:pt>
                <c:pt idx="132">
                  <c:v>74.208608391276343</c:v>
                </c:pt>
                <c:pt idx="133">
                  <c:v>73.239133110340418</c:v>
                </c:pt>
                <c:pt idx="134">
                  <c:v>72.241876136999835</c:v>
                </c:pt>
                <c:pt idx="135">
                  <c:v>71.213051014205462</c:v>
                </c:pt>
                <c:pt idx="136">
                  <c:v>70.149009222425562</c:v>
                </c:pt>
                <c:pt idx="137">
                  <c:v>69.046192042457534</c:v>
                </c:pt>
                <c:pt idx="138">
                  <c:v>67.901090797376924</c:v>
                </c:pt>
                <c:pt idx="139">
                  <c:v>66.710214034637772</c:v>
                </c:pt>
                <c:pt idx="140">
                  <c:v>65.470060671115391</c:v>
                </c:pt>
                <c:pt idx="141">
                  <c:v>64.177098505983096</c:v>
                </c:pt>
                <c:pt idx="142">
                  <c:v>62.82774783780566</c:v>
                </c:pt>
                <c:pt idx="143">
                  <c:v>61.418370224441858</c:v>
                </c:pt>
                <c:pt idx="144">
                  <c:v>59.945262712700227</c:v>
                </c:pt>
                <c:pt idx="145">
                  <c:v>58.404658149727865</c:v>
                </c:pt>
                <c:pt idx="146">
                  <c:v>56.792732475532404</c:v>
                </c:pt>
                <c:pt idx="147">
                  <c:v>55.105620186155079</c:v>
                </c:pt>
                <c:pt idx="148">
                  <c:v>53.339439443410939</c:v>
                </c:pt>
                <c:pt idx="149">
                  <c:v>51.49032857466463</c:v>
                </c:pt>
                <c:pt idx="150">
                  <c:v>49.554495928406538</c:v>
                </c:pt>
                <c:pt idx="151">
                  <c:v>47.528285187837184</c:v>
                </c:pt>
                <c:pt idx="152">
                  <c:v>45.408258237774533</c:v>
                </c:pt>
                <c:pt idx="153">
                  <c:v>43.191297454057832</c:v>
                </c:pt>
                <c:pt idx="154">
                  <c:v>40.874728746131836</c:v>
                </c:pt>
                <c:pt idx="155">
                  <c:v>38.456465728472466</c:v>
                </c:pt>
                <c:pt idx="156">
                  <c:v>35.935173923507818</c:v>
                </c:pt>
                <c:pt idx="157">
                  <c:v>33.310451833140377</c:v>
                </c:pt>
                <c:pt idx="158">
                  <c:v>30.583023046060106</c:v>
                </c:pt>
                <c:pt idx="159">
                  <c:v>27.754930370675538</c:v>
                </c:pt>
                <c:pt idx="160">
                  <c:v>24.829719552692268</c:v>
                </c:pt>
                <c:pt idx="161">
                  <c:v>21.812596899125538</c:v>
                </c:pt>
                <c:pt idx="162">
                  <c:v>18.710542726791829</c:v>
                </c:pt>
                <c:pt idx="163">
                  <c:v>15.532361754430269</c:v>
                </c:pt>
                <c:pt idx="164">
                  <c:v>12.28865312435758</c:v>
                </c:pt>
                <c:pt idx="165">
                  <c:v>8.9916872060896083</c:v>
                </c:pt>
                <c:pt idx="166">
                  <c:v>5.6551837604628759</c:v>
                </c:pt>
                <c:pt idx="167">
                  <c:v>2.293995819922003</c:v>
                </c:pt>
                <c:pt idx="168">
                  <c:v>-1.0762855484806266</c:v>
                </c:pt>
                <c:pt idx="169">
                  <c:v>-4.4397804225112623</c:v>
                </c:pt>
                <c:pt idx="170">
                  <c:v>-7.7807907099115425</c:v>
                </c:pt>
                <c:pt idx="171">
                  <c:v>-11.084256912279329</c:v>
                </c:pt>
                <c:pt idx="172">
                  <c:v>-14.336167474386968</c:v>
                </c:pt>
                <c:pt idx="173">
                  <c:v>-17.523893659632222</c:v>
                </c:pt>
                <c:pt idx="174">
                  <c:v>-20.636432459499559</c:v>
                </c:pt>
                <c:pt idx="175">
                  <c:v>-23.664550847268259</c:v>
                </c:pt>
                <c:pt idx="176">
                  <c:v>-26.600834822398724</c:v>
                </c:pt>
                <c:pt idx="177">
                  <c:v>-29.439654706831476</c:v>
                </c:pt>
                <c:pt idx="178">
                  <c:v>-32.177063280775997</c:v>
                </c:pt>
                <c:pt idx="179">
                  <c:v>-34.810645510121816</c:v>
                </c:pt>
                <c:pt idx="180">
                  <c:v>-37.339338271697017</c:v>
                </c:pt>
                <c:pt idx="181">
                  <c:v>-39.763236357984198</c:v>
                </c:pt>
                <c:pt idx="182">
                  <c:v>-42.083397923519101</c:v>
                </c:pt>
                <c:pt idx="183">
                  <c:v>-44.301659097421663</c:v>
                </c:pt>
                <c:pt idx="184">
                  <c:v>-46.420464221008331</c:v>
                </c:pt>
                <c:pt idx="185">
                  <c:v>-48.442715370006141</c:v>
                </c:pt>
                <c:pt idx="186">
                  <c:v>-50.371642614462303</c:v>
                </c:pt>
                <c:pt idx="187">
                  <c:v>-52.210694863538947</c:v>
                </c:pt>
                <c:pt idx="188">
                  <c:v>-53.963450072275919</c:v>
                </c:pt>
                <c:pt idx="189">
                  <c:v>-55.633542954648888</c:v>
                </c:pt>
                <c:pt idx="190">
                  <c:v>-57.224608046166438</c:v>
                </c:pt>
                <c:pt idx="191">
                  <c:v>-58.740235892869578</c:v>
                </c:pt>
                <c:pt idx="192">
                  <c:v>-60.183940231092166</c:v>
                </c:pt>
                <c:pt idx="193">
                  <c:v>-61.559134201045993</c:v>
                </c:pt>
                <c:pt idx="194">
                  <c:v>-62.869113861575912</c:v>
                </c:pt>
                <c:pt idx="195">
                  <c:v>-64.117047511947362</c:v>
                </c:pt>
                <c:pt idx="196">
                  <c:v>-65.305969559189222</c:v>
                </c:pt>
                <c:pt idx="197">
                  <c:v>-66.438777884524825</c:v>
                </c:pt>
                <c:pt idx="198">
                  <c:v>-67.518233853866164</c:v>
                </c:pt>
                <c:pt idx="199">
                  <c:v>-68.546964283132397</c:v>
                </c:pt>
                <c:pt idx="200">
                  <c:v>-69.527464809731143</c:v>
                </c:pt>
              </c:numCache>
            </c:numRef>
          </c:yVal>
          <c:smooth val="1"/>
        </c:ser>
        <c:ser>
          <c:idx val="4"/>
          <c:order val="2"/>
          <c:tx>
            <c:v> Tv(s) Phase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Compensation!$AD$64:$AD$264</c:f>
              <c:numCache>
                <c:formatCode>General</c:formatCode>
                <c:ptCount val="201"/>
                <c:pt idx="0">
                  <c:v>179.87333252328892</c:v>
                </c:pt>
                <c:pt idx="1">
                  <c:v>179.86736217337094</c:v>
                </c:pt>
                <c:pt idx="2">
                  <c:v>179.86111034645776</c:v>
                </c:pt>
                <c:pt idx="3">
                  <c:v>179.85456376167468</c:v>
                </c:pt>
                <c:pt idx="4">
                  <c:v>179.84770850997529</c:v>
                </c:pt>
                <c:pt idx="5">
                  <c:v>179.84053002420137</c:v>
                </c:pt>
                <c:pt idx="6">
                  <c:v>179.8330130476817</c:v>
                </c:pt>
                <c:pt idx="7">
                  <c:v>179.82514160129423</c:v>
                </c:pt>
                <c:pt idx="8">
                  <c:v>179.81689894890982</c:v>
                </c:pt>
                <c:pt idx="9">
                  <c:v>179.80826756113268</c:v>
                </c:pt>
                <c:pt idx="10">
                  <c:v>179.79922907724492</c:v>
                </c:pt>
                <c:pt idx="11">
                  <c:v>179.78976426525861</c:v>
                </c:pt>
                <c:pt idx="12">
                  <c:v>179.77985297997097</c:v>
                </c:pt>
                <c:pt idx="13">
                  <c:v>179.76947411891163</c:v>
                </c:pt>
                <c:pt idx="14">
                  <c:v>179.75860557606333</c:v>
                </c:pt>
                <c:pt idx="15">
                  <c:v>179.74722419322885</c:v>
                </c:pt>
                <c:pt idx="16">
                  <c:v>179.73530570890711</c:v>
                </c:pt>
                <c:pt idx="17">
                  <c:v>179.72282470453206</c:v>
                </c:pt>
                <c:pt idx="18">
                  <c:v>179.70975454791579</c:v>
                </c:pt>
                <c:pt idx="19">
                  <c:v>179.69606733372552</c:v>
                </c:pt>
                <c:pt idx="20">
                  <c:v>179.68173382080928</c:v>
                </c:pt>
                <c:pt idx="21">
                  <c:v>179.66672336617117</c:v>
                </c:pt>
                <c:pt idx="22">
                  <c:v>179.65100385537821</c:v>
                </c:pt>
                <c:pt idx="23">
                  <c:v>179.63454162916349</c:v>
                </c:pt>
                <c:pt idx="24">
                  <c:v>179.61730140596748</c:v>
                </c:pt>
                <c:pt idx="25">
                  <c:v>179.59924620013675</c:v>
                </c:pt>
                <c:pt idx="26">
                  <c:v>179.58033723547169</c:v>
                </c:pt>
                <c:pt idx="27">
                  <c:v>179.56053385378544</c:v>
                </c:pt>
                <c:pt idx="28">
                  <c:v>179.53979341810208</c:v>
                </c:pt>
                <c:pt idx="29">
                  <c:v>179.51807121008426</c:v>
                </c:pt>
                <c:pt idx="30">
                  <c:v>179.4953203212371</c:v>
                </c:pt>
                <c:pt idx="31">
                  <c:v>179.47149153738692</c:v>
                </c:pt>
                <c:pt idx="32">
                  <c:v>179.44653321587802</c:v>
                </c:pt>
                <c:pt idx="33">
                  <c:v>179.42039115486807</c:v>
                </c:pt>
                <c:pt idx="34">
                  <c:v>179.39300845403167</c:v>
                </c:pt>
                <c:pt idx="35">
                  <c:v>179.3643253659007</c:v>
                </c:pt>
                <c:pt idx="36">
                  <c:v>179.33427913697784</c:v>
                </c:pt>
                <c:pt idx="37">
                  <c:v>179.30280383765395</c:v>
                </c:pt>
                <c:pt idx="38">
                  <c:v>179.26983017984045</c:v>
                </c:pt>
                <c:pt idx="39">
                  <c:v>179.23528532108884</c:v>
                </c:pt>
                <c:pt idx="40">
                  <c:v>179.1990926538125</c:v>
                </c:pt>
                <c:pt idx="41">
                  <c:v>179.1611715780445</c:v>
                </c:pt>
                <c:pt idx="42">
                  <c:v>179.12143725595581</c:v>
                </c:pt>
                <c:pt idx="43">
                  <c:v>179.07980034611938</c:v>
                </c:pt>
                <c:pt idx="44">
                  <c:v>179.03616671522886</c:v>
                </c:pt>
                <c:pt idx="45">
                  <c:v>178.99043712466067</c:v>
                </c:pt>
                <c:pt idx="46">
                  <c:v>178.94250688889994</c:v>
                </c:pt>
                <c:pt idx="47">
                  <c:v>178.89226550242316</c:v>
                </c:pt>
                <c:pt idx="48">
                  <c:v>178.83959623113418</c:v>
                </c:pt>
                <c:pt idx="49">
                  <c:v>178.78437566387524</c:v>
                </c:pt>
                <c:pt idx="50">
                  <c:v>178.72647321886407</c:v>
                </c:pt>
                <c:pt idx="51">
                  <c:v>178.66575059912654</c:v>
                </c:pt>
                <c:pt idx="52">
                  <c:v>178.60206119008291</c:v>
                </c:pt>
                <c:pt idx="53">
                  <c:v>178.53524939137679</c:v>
                </c:pt>
                <c:pt idx="54">
                  <c:v>178.46514987378333</c:v>
                </c:pt>
                <c:pt idx="55">
                  <c:v>178.39158675056132</c:v>
                </c:pt>
                <c:pt idx="56">
                  <c:v>178.3143726508786</c:v>
                </c:pt>
                <c:pt idx="57">
                  <c:v>178.23330768089031</c:v>
                </c:pt>
                <c:pt idx="58">
                  <c:v>178.14817825562372</c:v>
                </c:pt>
                <c:pt idx="59">
                  <c:v>178.05875578193957</c:v>
                </c:pt>
                <c:pt idx="60">
                  <c:v>177.96479516940767</c:v>
                </c:pt>
                <c:pt idx="61">
                  <c:v>177.86603314183179</c:v>
                </c:pt>
                <c:pt idx="62">
                  <c:v>177.76218631724191</c:v>
                </c:pt>
                <c:pt idx="63">
                  <c:v>177.65294901825609</c:v>
                </c:pt>
                <c:pt idx="64">
                  <c:v>177.5379907675742</c:v>
                </c:pt>
                <c:pt idx="65">
                  <c:v>177.41695341470933</c:v>
                </c:pt>
                <c:pt idx="66">
                  <c:v>177.2894478295328</c:v>
                </c:pt>
                <c:pt idx="67">
                  <c:v>177.15505008533626</c:v>
                </c:pt>
                <c:pt idx="68">
                  <c:v>177.01329703831752</c:v>
                </c:pt>
                <c:pt idx="69">
                  <c:v>176.86368119090955</c:v>
                </c:pt>
                <c:pt idx="70">
                  <c:v>176.70564470222214</c:v>
                </c:pt>
                <c:pt idx="71">
                  <c:v>176.53857237877401</c:v>
                </c:pt>
                <c:pt idx="72">
                  <c:v>176.36178344099869</c:v>
                </c:pt>
                <c:pt idx="73">
                  <c:v>176.17452181351391</c:v>
                </c:pt>
                <c:pt idx="74">
                  <c:v>175.97594462694295</c:v>
                </c:pt>
                <c:pt idx="75">
                  <c:v>175.76510854228741</c:v>
                </c:pt>
                <c:pt idx="76">
                  <c:v>175.54095341023981</c:v>
                </c:pt>
                <c:pt idx="77">
                  <c:v>175.30228265031175</c:v>
                </c:pt>
                <c:pt idx="78">
                  <c:v>175.04773956853697</c:v>
                </c:pt>
                <c:pt idx="79">
                  <c:v>174.77577861441515</c:v>
                </c:pt>
                <c:pt idx="80">
                  <c:v>174.48463028906903</c:v>
                </c:pt>
                <c:pt idx="81">
                  <c:v>174.1722580311064</c:v>
                </c:pt>
                <c:pt idx="82">
                  <c:v>173.83630488721195</c:v>
                </c:pt>
                <c:pt idx="83">
                  <c:v>173.47402706763756</c:v>
                </c:pt>
                <c:pt idx="84">
                  <c:v>173.08221051493931</c:v>
                </c:pt>
                <c:pt idx="85">
                  <c:v>172.65706526351113</c:v>
                </c:pt>
                <c:pt idx="86">
                  <c:v>172.19409046794604</c:v>
                </c:pt>
                <c:pt idx="87">
                  <c:v>171.68790027395522</c:v>
                </c:pt>
                <c:pt idx="88">
                  <c:v>171.1319968046777</c:v>
                </c:pt>
                <c:pt idx="89">
                  <c:v>170.51847082942791</c:v>
                </c:pt>
                <c:pt idx="90">
                  <c:v>169.83760221223395</c:v>
                </c:pt>
                <c:pt idx="91">
                  <c:v>169.07731946811376</c:v>
                </c:pt>
                <c:pt idx="92">
                  <c:v>168.22245818707884</c:v>
                </c:pt>
                <c:pt idx="93">
                  <c:v>167.25372759005526</c:v>
                </c:pt>
                <c:pt idx="94">
                  <c:v>166.14624613605645</c:v>
                </c:pt>
                <c:pt idx="95">
                  <c:v>164.86742917428424</c:v>
                </c:pt>
                <c:pt idx="96">
                  <c:v>163.37388414713249</c:v>
                </c:pt>
                <c:pt idx="97">
                  <c:v>161.60675806696113</c:v>
                </c:pt>
                <c:pt idx="98">
                  <c:v>159.48463319604326</c:v>
                </c:pt>
                <c:pt idx="99">
                  <c:v>156.89250189775834</c:v>
                </c:pt>
                <c:pt idx="100">
                  <c:v>153.66450591257961</c:v>
                </c:pt>
                <c:pt idx="101">
                  <c:v>149.55717538798393</c:v>
                </c:pt>
                <c:pt idx="102">
                  <c:v>144.21028044752688</c:v>
                </c:pt>
                <c:pt idx="103">
                  <c:v>137.10065826459868</c:v>
                </c:pt>
                <c:pt idx="104">
                  <c:v>127.53357179338153</c:v>
                </c:pt>
                <c:pt idx="105">
                  <c:v>114.83592672455424</c:v>
                </c:pt>
                <c:pt idx="106">
                  <c:v>99.052667381858683</c:v>
                </c:pt>
                <c:pt idx="107">
                  <c:v>81.876045082497242</c:v>
                </c:pt>
                <c:pt idx="108">
                  <c:v>66.064307746336524</c:v>
                </c:pt>
                <c:pt idx="109">
                  <c:v>53.330563002505485</c:v>
                </c:pt>
                <c:pt idx="110">
                  <c:v>43.734591234848978</c:v>
                </c:pt>
                <c:pt idx="111">
                  <c:v>36.606482884703496</c:v>
                </c:pt>
                <c:pt idx="112">
                  <c:v>31.24996666364558</c:v>
                </c:pt>
                <c:pt idx="113">
                  <c:v>27.139752965662325</c:v>
                </c:pt>
                <c:pt idx="114">
                  <c:v>23.913972665380214</c:v>
                </c:pt>
                <c:pt idx="115">
                  <c:v>21.328053882337656</c:v>
                </c:pt>
                <c:pt idx="116">
                  <c:v>19.215426888510962</c:v>
                </c:pt>
                <c:pt idx="117">
                  <c:v>17.460629605325181</c:v>
                </c:pt>
                <c:pt idx="118">
                  <c:v>15.981955378645097</c:v>
                </c:pt>
                <c:pt idx="119">
                  <c:v>14.720369696345017</c:v>
                </c:pt>
                <c:pt idx="120">
                  <c:v>13.632369585966728</c:v>
                </c:pt>
                <c:pt idx="121">
                  <c:v>12.685308359820453</c:v>
                </c:pt>
                <c:pt idx="122">
                  <c:v>11.854276396436575</c:v>
                </c:pt>
                <c:pt idx="123">
                  <c:v>11.119979499561822</c:v>
                </c:pt>
                <c:pt idx="124">
                  <c:v>10.467268421444317</c:v>
                </c:pt>
                <c:pt idx="125">
                  <c:v>9.8841013779860134</c:v>
                </c:pt>
                <c:pt idx="126">
                  <c:v>9.360799757034556</c:v>
                </c:pt>
                <c:pt idx="127">
                  <c:v>8.8895058347301017</c:v>
                </c:pt>
                <c:pt idx="128">
                  <c:v>8.4637819739987776</c:v>
                </c:pt>
                <c:pt idx="129">
                  <c:v>8.0783104481334362</c:v>
                </c:pt>
                <c:pt idx="130">
                  <c:v>7.7286658651190976</c:v>
                </c:pt>
                <c:pt idx="131">
                  <c:v>7.4111406784607539</c:v>
                </c:pt>
                <c:pt idx="132">
                  <c:v>7.1226100022455228</c:v>
                </c:pt>
                <c:pt idx="133">
                  <c:v>6.8604258663121129</c:v>
                </c:pt>
                <c:pt idx="134">
                  <c:v>6.622333763231012</c:v>
                </c:pt>
                <c:pt idx="135">
                  <c:v>6.4064062461201559</c:v>
                </c:pt>
                <c:pt idx="136">
                  <c:v>6.2109896924842189</c:v>
                </c:pt>
                <c:pt idx="137">
                  <c:v>6.0346613248072174</c:v>
                </c:pt>
                <c:pt idx="138">
                  <c:v>5.8761942881080245</c:v>
                </c:pt>
                <c:pt idx="139">
                  <c:v>5.7345291059920385</c:v>
                </c:pt>
                <c:pt idx="140">
                  <c:v>5.6087502235454849</c:v>
                </c:pt>
                <c:pt idx="141">
                  <c:v>5.4980666350749914</c:v>
                </c:pt>
                <c:pt idx="142">
                  <c:v>5.4017958134842274</c:v>
                </c:pt>
                <c:pt idx="143">
                  <c:v>5.3193503247002525</c:v>
                </c:pt>
                <c:pt idx="144">
                  <c:v>5.2502266384412053</c:v>
                </c:pt>
                <c:pt idx="145">
                  <c:v>5.1939957454851537</c:v>
                </c:pt>
                <c:pt idx="146">
                  <c:v>5.1502952685688683</c:v>
                </c:pt>
                <c:pt idx="147">
                  <c:v>5.1188228143601293</c:v>
                </c:pt>
                <c:pt idx="148">
                  <c:v>5.0993303615041157</c:v>
                </c:pt>
                <c:pt idx="149">
                  <c:v>5.0916195174587813</c:v>
                </c:pt>
                <c:pt idx="150">
                  <c:v>5.0955375069056572</c:v>
                </c:pt>
                <c:pt idx="151">
                  <c:v>5.1109737786181881</c:v>
                </c:pt>
                <c:pt idx="152">
                  <c:v>5.1378571370663337</c:v>
                </c:pt>
                <c:pt idx="153">
                  <c:v>5.1761533207103412</c:v>
                </c:pt>
                <c:pt idx="154">
                  <c:v>5.2258629616497103</c:v>
                </c:pt>
                <c:pt idx="155">
                  <c:v>5.2870198716240679</c:v>
                </c:pt>
                <c:pt idx="156">
                  <c:v>5.3596896077828546</c:v>
                </c:pt>
                <c:pt idx="157">
                  <c:v>5.4439682784967545</c:v>
                </c:pt>
                <c:pt idx="158">
                  <c:v>5.5399815550682092</c:v>
                </c:pt>
                <c:pt idx="159">
                  <c:v>5.6478838597265906</c:v>
                </c:pt>
                <c:pt idx="160">
                  <c:v>5.767857703949602</c:v>
                </c:pt>
                <c:pt idx="161">
                  <c:v>5.900113154068066</c:v>
                </c:pt>
                <c:pt idx="162">
                  <c:v>6.0448874034024129</c:v>
                </c:pt>
                <c:pt idx="163">
                  <c:v>6.2024444319296492</c:v>
                </c:pt>
                <c:pt idx="164">
                  <c:v>6.37307473575936</c:v>
                </c:pt>
                <c:pt idx="165">
                  <c:v>6.5570951095595547</c:v>
                </c:pt>
                <c:pt idx="166">
                  <c:v>6.7548484655589789</c:v>
                </c:pt>
                <c:pt idx="167">
                  <c:v>6.9667036728932032</c:v>
                </c:pt>
                <c:pt idx="168">
                  <c:v>7.1930554008855268</c:v>
                </c:pt>
                <c:pt idx="169">
                  <c:v>7.4343239493700253</c:v>
                </c:pt>
                <c:pt idx="170">
                  <c:v>7.6909550483991609</c:v>
                </c:pt>
                <c:pt idx="171">
                  <c:v>7.9634196086300904</c:v>
                </c:pt>
                <c:pt idx="172">
                  <c:v>8.2522134023731724</c:v>
                </c:pt>
                <c:pt idx="173">
                  <c:v>8.5578566537108713</c:v>
                </c:pt>
                <c:pt idx="174">
                  <c:v>8.8808935142801033</c:v>
                </c:pt>
                <c:pt idx="175">
                  <c:v>9.221891399251831</c:v>
                </c:pt>
                <c:pt idx="176">
                  <c:v>9.5814401557799158</c:v>
                </c:pt>
                <c:pt idx="177">
                  <c:v>9.9601510337301136</c:v>
                </c:pt>
                <c:pt idx="178">
                  <c:v>10.358655425898689</c:v>
                </c:pt>
                <c:pt idx="179">
                  <c:v>10.777603342220601</c:v>
                </c:pt>
                <c:pt idx="180">
                  <c:v>11.217661579737239</c:v>
                </c:pt>
                <c:pt idx="181">
                  <c:v>11.679511547400097</c:v>
                </c:pt>
                <c:pt idx="182">
                  <c:v>12.163846702288453</c:v>
                </c:pt>
                <c:pt idx="183">
                  <c:v>12.671369551603959</c:v>
                </c:pt>
                <c:pt idx="184">
                  <c:v>13.202788173094802</c:v>
                </c:pt>
                <c:pt idx="185">
                  <c:v>13.758812205538334</c:v>
                </c:pt>
                <c:pt idx="186">
                  <c:v>14.340148260846348</c:v>
                </c:pt>
                <c:pt idx="187">
                  <c:v>14.947494710530975</c:v>
                </c:pt>
                <c:pt idx="188">
                  <c:v>15.581535802039582</c:v>
                </c:pt>
                <c:pt idx="189">
                  <c:v>16.242935065191887</c:v>
                </c:pt>
                <c:pt idx="190">
                  <c:v>16.932327976072742</c:v>
                </c:pt>
                <c:pt idx="191">
                  <c:v>17.650313855644782</c:v>
                </c:pt>
                <c:pt idx="192">
                  <c:v>18.397446993537329</c:v>
                </c:pt>
                <c:pt idx="193">
                  <c:v>19.174227004287502</c:v>
                </c:pt>
                <c:pt idx="194">
                  <c:v>19.981088444188117</c:v>
                </c:pt>
                <c:pt idx="195">
                  <c:v>20.81838974199502</c:v>
                </c:pt>
                <c:pt idx="196">
                  <c:v>21.686401526249256</c:v>
                </c:pt>
                <c:pt idx="197">
                  <c:v>22.585294465639464</c:v>
                </c:pt>
                <c:pt idx="198">
                  <c:v>23.515126776334085</c:v>
                </c:pt>
                <c:pt idx="199">
                  <c:v>24.47583159068418</c:v>
                </c:pt>
                <c:pt idx="200">
                  <c:v>25.467204423967985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56160"/>
        <c:axId val="95404800"/>
      </c:scatterChart>
      <c:valAx>
        <c:axId val="94956160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404800"/>
        <c:crosses val="autoZero"/>
        <c:crossBetween val="midCat"/>
      </c:valAx>
      <c:valAx>
        <c:axId val="9540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56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12064668387044"/>
          <c:y val="3.9325913587724616E-2"/>
          <c:w val="0.24407878426961335"/>
          <c:h val="0.1516853422168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08719137916309E-2"/>
          <c:y val="7.2829330875051626E-2"/>
          <c:w val="0.86468786208207971"/>
          <c:h val="0.85714520183714615"/>
        </c:manualLayout>
      </c:layout>
      <c:scatterChart>
        <c:scatterStyle val="smoothMarker"/>
        <c:varyColors val="0"/>
        <c:ser>
          <c:idx val="3"/>
          <c:order val="0"/>
          <c:tx>
            <c:v> T(s) Phase w/o Comp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Compensation!$AH$64:$AH$264</c:f>
              <c:numCache>
                <c:formatCode>General</c:formatCode>
                <c:ptCount val="201"/>
                <c:pt idx="0">
                  <c:v>179.0261350854561</c:v>
                </c:pt>
                <c:pt idx="1">
                  <c:v>178.98024632411381</c:v>
                </c:pt>
                <c:pt idx="2">
                  <c:v>178.93219608858178</c:v>
                </c:pt>
                <c:pt idx="3">
                  <c:v>178.88188268891051</c:v>
                </c:pt>
                <c:pt idx="4">
                  <c:v>178.82919966888275</c:v>
                </c:pt>
                <c:pt idx="5">
                  <c:v>178.7740355852674</c:v>
                </c:pt>
                <c:pt idx="6">
                  <c:v>178.71627377724388</c:v>
                </c:pt>
                <c:pt idx="7">
                  <c:v>178.65579212561801</c:v>
                </c:pt>
                <c:pt idx="8">
                  <c:v>178.59246280144558</c:v>
                </c:pt>
                <c:pt idx="9">
                  <c:v>178.52615200367603</c:v>
                </c:pt>
                <c:pt idx="10">
                  <c:v>178.45671968542592</c:v>
                </c:pt>
                <c:pt idx="11">
                  <c:v>178.38401926849355</c:v>
                </c:pt>
                <c:pt idx="12">
                  <c:v>178.30789734572795</c:v>
                </c:pt>
                <c:pt idx="13">
                  <c:v>178.22819337087293</c:v>
                </c:pt>
                <c:pt idx="14">
                  <c:v>178.14473933551616</c:v>
                </c:pt>
                <c:pt idx="15">
                  <c:v>178.05735943278933</c:v>
                </c:pt>
                <c:pt idx="16">
                  <c:v>177.9658697074843</c:v>
                </c:pt>
                <c:pt idx="17">
                  <c:v>177.87007769227776</c:v>
                </c:pt>
                <c:pt idx="18">
                  <c:v>177.76978202979043</c:v>
                </c:pt>
                <c:pt idx="19">
                  <c:v>177.66477208024861</c:v>
                </c:pt>
                <c:pt idx="20">
                  <c:v>177.55482751456944</c:v>
                </c:pt>
                <c:pt idx="21">
                  <c:v>177.439717892754</c:v>
                </c:pt>
                <c:pt idx="22">
                  <c:v>177.31920222754925</c:v>
                </c:pt>
                <c:pt idx="23">
                  <c:v>177.19302853343379</c:v>
                </c:pt>
                <c:pt idx="24">
                  <c:v>177.06093336108984</c:v>
                </c:pt>
                <c:pt idx="25">
                  <c:v>176.92264131765651</c:v>
                </c:pt>
                <c:pt idx="26">
                  <c:v>176.77786457321079</c:v>
                </c:pt>
                <c:pt idx="27">
                  <c:v>176.6263023541043</c:v>
                </c:pt>
                <c:pt idx="28">
                  <c:v>176.46764042399198</c:v>
                </c:pt>
                <c:pt idx="29">
                  <c:v>176.30155055363605</c:v>
                </c:pt>
                <c:pt idx="30">
                  <c:v>176.12768998084977</c:v>
                </c:pt>
                <c:pt idx="31">
                  <c:v>175.9457008622764</c:v>
                </c:pt>
                <c:pt idx="32">
                  <c:v>175.75520971907557</c:v>
                </c:pt>
                <c:pt idx="33">
                  <c:v>175.55582687902597</c:v>
                </c:pt>
                <c:pt idx="34">
                  <c:v>175.34714591805346</c:v>
                </c:pt>
                <c:pt idx="35">
                  <c:v>175.12874310476269</c:v>
                </c:pt>
                <c:pt idx="36">
                  <c:v>174.90017685220573</c:v>
                </c:pt>
                <c:pt idx="37">
                  <c:v>174.66098718185967</c:v>
                </c:pt>
                <c:pt idx="38">
                  <c:v>174.41069520562661</c:v>
                </c:pt>
                <c:pt idx="39">
                  <c:v>174.1488026326214</c:v>
                </c:pt>
                <c:pt idx="40">
                  <c:v>173.87479130858043</c:v>
                </c:pt>
                <c:pt idx="41">
                  <c:v>173.5881227969312</c:v>
                </c:pt>
                <c:pt idx="42">
                  <c:v>173.28823801190282</c:v>
                </c:pt>
                <c:pt idx="43">
                  <c:v>172.97455691555996</c:v>
                </c:pt>
                <c:pt idx="44">
                  <c:v>172.64647829230194</c:v>
                </c:pt>
                <c:pt idx="45">
                  <c:v>172.30337961619963</c:v>
                </c:pt>
                <c:pt idx="46">
                  <c:v>171.94461702855557</c:v>
                </c:pt>
                <c:pt idx="47">
                  <c:v>171.56952544525558</c:v>
                </c:pt>
                <c:pt idx="48">
                  <c:v>171.17741881585113</c:v>
                </c:pt>
                <c:pt idx="49">
                  <c:v>170.76759055884085</c:v>
                </c:pt>
                <c:pt idx="50">
                  <c:v>170.33931420030558</c:v>
                </c:pt>
                <c:pt idx="51">
                  <c:v>169.89184424586099</c:v>
                </c:pt>
                <c:pt idx="52">
                  <c:v>169.42441731878066</c:v>
                </c:pt>
                <c:pt idx="53">
                  <c:v>168.93625360006064</c:v>
                </c:pt>
                <c:pt idx="54">
                  <c:v>168.42655860905955</c:v>
                </c:pt>
                <c:pt idx="55">
                  <c:v>167.89452536605887</c:v>
                </c:pt>
                <c:pt idx="56">
                  <c:v>167.33933698051442</c:v>
                </c:pt>
                <c:pt idx="57">
                  <c:v>166.76016971074938</c:v>
                </c:pt>
                <c:pt idx="58">
                  <c:v>166.15619654217852</c:v>
                </c:pt>
                <c:pt idx="59">
                  <c:v>165.52659133159813</c:v>
                </c:pt>
                <c:pt idx="60">
                  <c:v>164.87053356436891</c:v>
                </c:pt>
                <c:pt idx="61">
                  <c:v>164.18721376910878</c:v>
                </c:pt>
                <c:pt idx="62">
                  <c:v>163.47583963044846</c:v>
                </c:pt>
                <c:pt idx="63">
                  <c:v>162.73564283408007</c:v>
                </c:pt>
                <c:pt idx="64">
                  <c:v>161.96588666931038</c:v>
                </c:pt>
                <c:pt idx="65">
                  <c:v>161.16587440218623</c:v>
                </c:pt>
                <c:pt idx="66">
                  <c:v>160.33495841656665</c:v>
                </c:pt>
                <c:pt idx="67">
                  <c:v>159.47255010088895</c:v>
                </c:pt>
                <c:pt idx="68">
                  <c:v>158.57813043455187</c:v>
                </c:pt>
                <c:pt idx="69">
                  <c:v>157.6512611996485</c:v>
                </c:pt>
                <c:pt idx="70">
                  <c:v>156.69159671131368</c:v>
                </c:pt>
                <c:pt idx="71">
                  <c:v>155.69889592352109</c:v>
                </c:pt>
                <c:pt idx="72">
                  <c:v>154.67303472747227</c:v>
                </c:pt>
                <c:pt idx="73">
                  <c:v>153.61401821781175</c:v>
                </c:pt>
                <c:pt idx="74">
                  <c:v>152.52199265937918</c:v>
                </c:pt>
                <c:pt idx="75">
                  <c:v>151.39725684604332</c:v>
                </c:pt>
                <c:pt idx="76">
                  <c:v>150.24027250590768</c:v>
                </c:pt>
                <c:pt idx="77">
                  <c:v>149.0516733767555</c:v>
                </c:pt>
                <c:pt idx="78">
                  <c:v>147.83227255521189</c:v>
                </c:pt>
                <c:pt idx="79">
                  <c:v>146.58306771611998</c:v>
                </c:pt>
                <c:pt idx="80">
                  <c:v>145.30524380817815</c:v>
                </c:pt>
                <c:pt idx="81">
                  <c:v>144.00017286072827</c:v>
                </c:pt>
                <c:pt idx="82">
                  <c:v>142.66941058652418</c:v>
                </c:pt>
                <c:pt idx="83">
                  <c:v>141.31468953707429</c:v>
                </c:pt>
                <c:pt idx="84">
                  <c:v>139.93790865988939</c:v>
                </c:pt>
                <c:pt idx="85">
                  <c:v>138.54111921811878</c:v>
                </c:pt>
                <c:pt idx="86">
                  <c:v>137.12650715828494</c:v>
                </c:pt>
                <c:pt idx="87">
                  <c:v>135.69637214509416</c:v>
                </c:pt>
                <c:pt idx="88">
                  <c:v>134.25310361621939</c:v>
                </c:pt>
                <c:pt idx="89">
                  <c:v>132.79915433631467</c:v>
                </c:pt>
                <c:pt idx="90">
                  <c:v>131.33701203999055</c:v>
                </c:pt>
                <c:pt idx="91">
                  <c:v>129.86916984031589</c:v>
                </c:pt>
                <c:pt idx="92">
                  <c:v>128.39809613635572</c:v>
                </c:pt>
                <c:pt idx="93">
                  <c:v>126.92620477600271</c:v>
                </c:pt>
                <c:pt idx="94">
                  <c:v>125.45582621728707</c:v>
                </c:pt>
                <c:pt idx="95">
                  <c:v>123.98918038335266</c:v>
                </c:pt>
                <c:pt idx="96">
                  <c:v>122.52835182706264</c:v>
                </c:pt>
                <c:pt idx="97">
                  <c:v>121.07526771650541</c:v>
                </c:pt>
                <c:pt idx="98">
                  <c:v>119.63167902993939</c:v>
                </c:pt>
                <c:pt idx="99">
                  <c:v>118.19914521622397</c:v>
                </c:pt>
                <c:pt idx="100">
                  <c:v>116.77902244281265</c:v>
                </c:pt>
                <c:pt idx="101">
                  <c:v>115.3724554256665</c:v>
                </c:pt>
                <c:pt idx="102">
                  <c:v>113.98037272035641</c:v>
                </c:pt>
                <c:pt idx="103">
                  <c:v>112.60348525603864</c:v>
                </c:pt>
                <c:pt idx="104">
                  <c:v>111.24228781691396</c:v>
                </c:pt>
                <c:pt idx="105">
                  <c:v>109.8970631205337</c:v>
                </c:pt>
                <c:pt idx="106">
                  <c:v>108.56788810856942</c:v>
                </c:pt>
                <c:pt idx="107">
                  <c:v>107.25464205186228</c:v>
                </c:pt>
                <c:pt idx="108">
                  <c:v>105.9570160752199</c:v>
                </c:pt>
                <c:pt idx="109">
                  <c:v>104.67452372541999</c:v>
                </c:pt>
                <c:pt idx="110">
                  <c:v>103.40651223496761</c:v>
                </c:pt>
                <c:pt idx="111">
                  <c:v>102.15217417101955</c:v>
                </c:pt>
                <c:pt idx="112">
                  <c:v>100.91055920056382</c:v>
                </c:pt>
                <c:pt idx="113">
                  <c:v>99.68058574678119</c:v>
                </c:pt>
                <c:pt idx="114">
                  <c:v>98.461052355409521</c:v>
                </c:pt>
                <c:pt idx="115">
                  <c:v>97.250648632171774</c:v>
                </c:pt>
                <c:pt idx="116">
                  <c:v>96.047965651772969</c:v>
                </c:pt>
                <c:pt idx="117">
                  <c:v>94.851505774839538</c:v>
                </c:pt>
                <c:pt idx="118">
                  <c:v>93.659691841042289</c:v>
                </c:pt>
                <c:pt idx="119">
                  <c:v>92.47087573442974</c:v>
                </c:pt>
                <c:pt idx="120">
                  <c:v>91.28334634075874</c:v>
                </c:pt>
                <c:pt idx="121">
                  <c:v>90.095336936646476</c:v>
                </c:pt>
                <c:pt idx="122">
                  <c:v>88.905032066969724</c:v>
                </c:pt>
                <c:pt idx="123">
                  <c:v>87.710573980565684</c:v>
                </c:pt>
                <c:pt idx="124">
                  <c:v>86.510068705291758</c:v>
                </c:pt>
                <c:pt idx="125">
                  <c:v>85.301591852313138</c:v>
                </c:pt>
                <c:pt idx="126">
                  <c:v>84.083194246415516</c:v>
                </c:pt>
                <c:pt idx="127">
                  <c:v>82.852907484499553</c:v>
                </c:pt>
                <c:pt idx="128">
                  <c:v>81.60874952840058</c:v>
                </c:pt>
                <c:pt idx="129">
                  <c:v>80.348730440943413</c:v>
                </c:pt>
                <c:pt idx="130">
                  <c:v>79.07085837573527</c:v>
                </c:pt>
                <c:pt idx="131">
                  <c:v>77.773145931601093</c:v>
                </c:pt>
                <c:pt idx="132">
                  <c:v>76.453616981647983</c:v>
                </c:pt>
                <c:pt idx="133">
                  <c:v>75.110314084518848</c:v>
                </c:pt>
                <c:pt idx="134">
                  <c:v>73.741306581190557</c:v>
                </c:pt>
                <c:pt idx="135">
                  <c:v>72.344699474305443</c:v>
                </c:pt>
                <c:pt idx="136">
                  <c:v>70.91864317813517</c:v>
                </c:pt>
                <c:pt idx="137">
                  <c:v>69.461344215340773</c:v>
                </c:pt>
                <c:pt idx="138">
                  <c:v>67.97107692131074</c:v>
                </c:pt>
                <c:pt idx="139">
                  <c:v>66.446196197485406</c:v>
                </c:pt>
                <c:pt idx="140">
                  <c:v>64.885151331364256</c:v>
                </c:pt>
                <c:pt idx="141">
                  <c:v>63.286500872471223</c:v>
                </c:pt>
                <c:pt idx="142">
                  <c:v>61.648928520325157</c:v>
                </c:pt>
                <c:pt idx="143">
                  <c:v>59.971259942453059</c:v>
                </c:pt>
                <c:pt idx="144">
                  <c:v>58.252480398083875</c:v>
                </c:pt>
                <c:pt idx="145">
                  <c:v>56.491752997122674</c:v>
                </c:pt>
                <c:pt idx="146">
                  <c:v>54.688437375423149</c:v>
                </c:pt>
                <c:pt idx="147">
                  <c:v>52.842108517920266</c:v>
                </c:pt>
                <c:pt idx="148">
                  <c:v>50.952575412856135</c:v>
                </c:pt>
                <c:pt idx="149">
                  <c:v>49.019899175657741</c:v>
                </c:pt>
                <c:pt idx="150">
                  <c:v>47.044410242764144</c:v>
                </c:pt>
                <c:pt idx="151">
                  <c:v>45.026724206850105</c:v>
                </c:pt>
                <c:pt idx="152">
                  <c:v>42.96775584836422</c:v>
                </c:pt>
                <c:pt idx="153">
                  <c:v>40.868730916694375</c:v>
                </c:pt>
                <c:pt idx="154">
                  <c:v>38.731195229631112</c:v>
                </c:pt>
                <c:pt idx="155">
                  <c:v>36.557020693187724</c:v>
                </c:pt>
                <c:pt idx="156">
                  <c:v>34.348407895281298</c:v>
                </c:pt>
                <c:pt idx="157">
                  <c:v>32.107884994922983</c:v>
                </c:pt>
                <c:pt idx="158">
                  <c:v>29.838302710779459</c:v>
                </c:pt>
                <c:pt idx="159">
                  <c:v>27.542825305395468</c:v>
                </c:pt>
                <c:pt idx="160">
                  <c:v>25.224917559319039</c:v>
                </c:pt>
                <c:pt idx="161">
                  <c:v>22.888327827612386</c:v>
                </c:pt>
                <c:pt idx="162">
                  <c:v>20.537067364731115</c:v>
                </c:pt>
                <c:pt idx="163">
                  <c:v>18.175386188089306</c:v>
                </c:pt>
                <c:pt idx="164">
                  <c:v>15.80774582247642</c:v>
                </c:pt>
                <c:pt idx="165">
                  <c:v>13.438789325125242</c:v>
                </c:pt>
                <c:pt idx="166">
                  <c:v>11.07330903433251</c:v>
                </c:pt>
                <c:pt idx="167">
                  <c:v>8.7162125143837272</c:v>
                </c:pt>
                <c:pt idx="168">
                  <c:v>6.372487188196402</c:v>
                </c:pt>
                <c:pt idx="169">
                  <c:v>4.0471641593562708</c:v>
                </c:pt>
                <c:pt idx="170">
                  <c:v>1.7452817294121132</c:v>
                </c:pt>
                <c:pt idx="171">
                  <c:v>-0.52815088376016206</c:v>
                </c:pt>
                <c:pt idx="172">
                  <c:v>-2.7681891244973258</c:v>
                </c:pt>
                <c:pt idx="173">
                  <c:v>-4.969987480889074</c:v>
                </c:pt>
                <c:pt idx="174">
                  <c:v>-7.1288321897190201</c:v>
                </c:pt>
                <c:pt idx="175">
                  <c:v>-9.240171808137859</c:v>
                </c:pt>
                <c:pt idx="176">
                  <c:v>-11.299645229634592</c:v>
                </c:pt>
                <c:pt idx="177">
                  <c:v>-13.30310676953053</c:v>
                </c:pt>
                <c:pt idx="178">
                  <c:v>-15.246648007405469</c:v>
                </c:pt>
                <c:pt idx="179">
                  <c:v>-17.126616150233758</c:v>
                </c:pt>
                <c:pt idx="180">
                  <c:v>-18.939628768606127</c:v>
                </c:pt>
                <c:pt idx="181">
                  <c:v>-20.682584855876826</c:v>
                </c:pt>
                <c:pt idx="182">
                  <c:v>-22.35267226173309</c:v>
                </c:pt>
                <c:pt idx="183">
                  <c:v>-23.947371652466785</c:v>
                </c:pt>
                <c:pt idx="184">
                  <c:v>-25.46445724461924</c:v>
                </c:pt>
                <c:pt idx="185">
                  <c:v>-26.901994641982668</c:v>
                </c:pt>
                <c:pt idx="186">
                  <c:v>-28.258336173964324</c:v>
                </c:pt>
                <c:pt idx="187">
                  <c:v>-29.532114183316082</c:v>
                </c:pt>
                <c:pt idx="188">
                  <c:v>-30.722232741602284</c:v>
                </c:pt>
                <c:pt idx="189">
                  <c:v>-31.827858281125089</c:v>
                </c:pt>
                <c:pt idx="190">
                  <c:v>-32.848409623220419</c:v>
                </c:pt>
                <c:pt idx="191">
                  <c:v>-33.783547856421904</c:v>
                </c:pt>
                <c:pt idx="192">
                  <c:v>-34.633166476231139</c:v>
                </c:pt>
                <c:pt idx="193">
                  <c:v>-35.397382143614237</c:v>
                </c:pt>
                <c:pt idx="194">
                  <c:v>-36.076526354540164</c:v>
                </c:pt>
                <c:pt idx="195">
                  <c:v>-36.671138240385488</c:v>
                </c:pt>
                <c:pt idx="196">
                  <c:v>-37.181958641281142</c:v>
                </c:pt>
                <c:pt idx="197">
                  <c:v>-37.609925513622471</c:v>
                </c:pt>
                <c:pt idx="198">
                  <c:v>-37.956170651045682</c:v>
                </c:pt>
                <c:pt idx="199">
                  <c:v>-38.22201761710221</c:v>
                </c:pt>
                <c:pt idx="200">
                  <c:v>-38.408980709596847</c:v>
                </c:pt>
              </c:numCache>
            </c:numRef>
          </c:yVal>
          <c:smooth val="1"/>
        </c:ser>
        <c:ser>
          <c:idx val="0"/>
          <c:order val="1"/>
          <c:tx>
            <c:v>Phase of Compensation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Compensation!$AY$64:$AY$264</c:f>
              <c:numCache>
                <c:formatCode>General</c:formatCode>
                <c:ptCount val="201"/>
                <c:pt idx="0">
                  <c:v>96.085618384416946</c:v>
                </c:pt>
                <c:pt idx="1">
                  <c:v>96.260891676106255</c:v>
                </c:pt>
                <c:pt idx="2">
                  <c:v>96.449209326447971</c:v>
                </c:pt>
                <c:pt idx="3">
                  <c:v>96.650936932371096</c:v>
                </c:pt>
                <c:pt idx="4">
                  <c:v>96.866463523669083</c:v>
                </c:pt>
                <c:pt idx="5">
                  <c:v>97.096201682000228</c:v>
                </c:pt>
                <c:pt idx="6">
                  <c:v>97.340587609850303</c:v>
                </c:pt>
                <c:pt idx="7">
                  <c:v>97.600081136523229</c:v>
                </c:pt>
                <c:pt idx="8">
                  <c:v>97.875165646508492</c:v>
                </c:pt>
                <c:pt idx="9">
                  <c:v>98.166347913678905</c:v>
                </c:pt>
                <c:pt idx="10">
                  <c:v>98.474157822703106</c:v>
                </c:pt>
                <c:pt idx="11">
                  <c:v>98.799147956808795</c:v>
                </c:pt>
                <c:pt idx="12">
                  <c:v>99.141893028605821</c:v>
                </c:pt>
                <c:pt idx="13">
                  <c:v>99.502989128094143</c:v>
                </c:pt>
                <c:pt idx="14">
                  <c:v>99.883052759248486</c:v>
                </c:pt>
                <c:pt idx="15">
                  <c:v>100.28271963372893</c:v>
                </c:pt>
                <c:pt idx="16">
                  <c:v>100.70264318736113</c:v>
                </c:pt>
                <c:pt idx="17">
                  <c:v>101.14349278211978</c:v>
                </c:pt>
                <c:pt idx="18">
                  <c:v>101.60595155352273</c:v>
                </c:pt>
                <c:pt idx="19">
                  <c:v>102.09071386071635</c:v>
                </c:pt>
                <c:pt idx="20">
                  <c:v>102.59848229423537</c:v>
                </c:pt>
                <c:pt idx="21">
                  <c:v>103.12996419463784</c:v>
                </c:pt>
                <c:pt idx="22">
                  <c:v>103.68586763415217</c:v>
                </c:pt>
                <c:pt idx="23">
                  <c:v>104.26689681338939</c:v>
                </c:pt>
                <c:pt idx="24">
                  <c:v>104.87374682635873</c:v>
                </c:pt>
                <c:pt idx="25">
                  <c:v>105.50709774982619</c:v>
                </c:pt>
                <c:pt idx="26">
                  <c:v>106.16760801785229</c:v>
                </c:pt>
                <c:pt idx="27">
                  <c:v>106.85590704954076</c:v>
                </c:pt>
                <c:pt idx="28">
                  <c:v>107.57258710808058</c:v>
                </c:pt>
                <c:pt idx="29">
                  <c:v>108.318194382477</c:v>
                </c:pt>
                <c:pt idx="30">
                  <c:v>109.09321930038199</c:v>
                </c:pt>
                <c:pt idx="31">
                  <c:v>109.89808610147365</c:v>
                </c:pt>
                <c:pt idx="32">
                  <c:v>110.7331417261627</c:v>
                </c:pt>
                <c:pt idx="33">
                  <c:v>111.59864410407612</c:v>
                </c:pt>
                <c:pt idx="34">
                  <c:v>112.49474996066148</c:v>
                </c:pt>
                <c:pt idx="35">
                  <c:v>113.42150229788822</c:v>
                </c:pt>
                <c:pt idx="36">
                  <c:v>114.37881774563058</c:v>
                </c:pt>
                <c:pt idx="37">
                  <c:v>115.36647402260658</c:v>
                </c:pt>
                <c:pt idx="38">
                  <c:v>116.38409778806148</c:v>
                </c:pt>
                <c:pt idx="39">
                  <c:v>117.43115320546714</c:v>
                </c:pt>
                <c:pt idx="40">
                  <c:v>118.50693157475243</c:v>
                </c:pt>
                <c:pt idx="41">
                  <c:v>119.61054241686722</c:v>
                </c:pt>
                <c:pt idx="42">
                  <c:v>120.74090641060114</c:v>
                </c:pt>
                <c:pt idx="43">
                  <c:v>121.89675058314805</c:v>
                </c:pt>
                <c:pt idx="44">
                  <c:v>123.07660613993141</c:v>
                </c:pt>
                <c:pt idx="45">
                  <c:v>124.27880928320329</c:v>
                </c:pt>
                <c:pt idx="46">
                  <c:v>125.50150531140926</c:v>
                </c:pt>
                <c:pt idx="47">
                  <c:v>126.74265621210694</c:v>
                </c:pt>
                <c:pt idx="48">
                  <c:v>128.00005186170512</c:v>
                </c:pt>
                <c:pt idx="49">
                  <c:v>129.27132482869587</c:v>
                </c:pt>
                <c:pt idx="50">
                  <c:v>130.5539686482602</c:v>
                </c:pt>
                <c:pt idx="51">
                  <c:v>131.84535930177393</c:v>
                </c:pt>
                <c:pt idx="52">
                  <c:v>133.14277950249712</c:v>
                </c:pt>
                <c:pt idx="53">
                  <c:v>134.44344526696972</c:v>
                </c:pt>
                <c:pt idx="54">
                  <c:v>135.74453414858746</c:v>
                </c:pt>
                <c:pt idx="55">
                  <c:v>137.043214432767</c:v>
                </c:pt>
                <c:pt idx="56">
                  <c:v>138.33667454773342</c:v>
                </c:pt>
                <c:pt idx="57">
                  <c:v>139.62215193463371</c:v>
                </c:pt>
                <c:pt idx="58">
                  <c:v>140.89696064621032</c:v>
                </c:pt>
                <c:pt idx="59">
                  <c:v>142.15851700271725</c:v>
                </c:pt>
                <c:pt idx="60">
                  <c:v>143.4043627227</c:v>
                </c:pt>
                <c:pt idx="61">
                  <c:v>144.6321850582616</c:v>
                </c:pt>
                <c:pt idx="62">
                  <c:v>145.83983359168062</c:v>
                </c:pt>
                <c:pt idx="63">
                  <c:v>147.0253334843913</c:v>
                </c:pt>
                <c:pt idx="64">
                  <c:v>148.18689510219949</c:v>
                </c:pt>
                <c:pt idx="65">
                  <c:v>149.32292006490141</c:v>
                </c:pt>
                <c:pt idx="66">
                  <c:v>150.43200387828136</c:v>
                </c:pt>
                <c:pt idx="67">
                  <c:v>151.51293539759996</c:v>
                </c:pt>
                <c:pt idx="68">
                  <c:v>152.56469344169977</c:v>
                </c:pt>
                <c:pt idx="69">
                  <c:v>153.58644092508396</c:v>
                </c:pt>
                <c:pt idx="70">
                  <c:v>154.57751690253434</c:v>
                </c:pt>
                <c:pt idx="71">
                  <c:v>155.53742692896657</c:v>
                </c:pt>
                <c:pt idx="72">
                  <c:v>156.46583212905099</c:v>
                </c:pt>
                <c:pt idx="73">
                  <c:v>157.362537349821</c:v>
                </c:pt>
                <c:pt idx="74">
                  <c:v>158.22747873841701</c:v>
                </c:pt>
                <c:pt idx="75">
                  <c:v>159.06071104943538</c:v>
                </c:pt>
                <c:pt idx="76">
                  <c:v>159.86239494502496</c:v>
                </c:pt>
                <c:pt idx="77">
                  <c:v>160.6327845083083</c:v>
                </c:pt>
                <c:pt idx="78">
                  <c:v>161.37221514895353</c:v>
                </c:pt>
                <c:pt idx="79">
                  <c:v>162.08109204025084</c:v>
                </c:pt>
                <c:pt idx="80">
                  <c:v>162.7598791909256</c:v>
                </c:pt>
                <c:pt idx="81">
                  <c:v>163.40908922279169</c:v>
                </c:pt>
                <c:pt idx="82">
                  <c:v>164.0292738975136</c:v>
                </c:pt>
                <c:pt idx="83">
                  <c:v>164.62101541227716</c:v>
                </c:pt>
                <c:pt idx="84">
                  <c:v>165.18491846486441</c:v>
                </c:pt>
                <c:pt idx="85">
                  <c:v>165.72160307325248</c:v>
                </c:pt>
                <c:pt idx="86">
                  <c:v>166.23169812297624</c:v>
                </c:pt>
                <c:pt idx="87">
                  <c:v>166.71583560672548</c:v>
                </c:pt>
                <c:pt idx="88">
                  <c:v>167.17464551452417</c:v>
                </c:pt>
                <c:pt idx="89">
                  <c:v>167.6087513289495</c:v>
                </c:pt>
                <c:pt idx="90">
                  <c:v>168.01876607779221</c:v>
                </c:pt>
                <c:pt idx="91">
                  <c:v>168.4052888959595</c:v>
                </c:pt>
                <c:pt idx="92">
                  <c:v>168.76890204897649</c:v>
                </c:pt>
                <c:pt idx="93">
                  <c:v>169.11016837185841</c:v>
                </c:pt>
                <c:pt idx="94">
                  <c:v>169.42962907917067</c:v>
                </c:pt>
                <c:pt idx="95">
                  <c:v>169.7278019045846</c:v>
                </c:pt>
                <c:pt idx="96">
                  <c:v>170.0051795309947</c:v>
                </c:pt>
                <c:pt idx="97">
                  <c:v>170.26222827518029</c:v>
                </c:pt>
                <c:pt idx="98">
                  <c:v>170.49938699396</c:v>
                </c:pt>
                <c:pt idx="99">
                  <c:v>170.71706618173678</c:v>
                </c:pt>
                <c:pt idx="100">
                  <c:v>170.91564723219656</c:v>
                </c:pt>
                <c:pt idx="101">
                  <c:v>171.09548183968508</c:v>
                </c:pt>
                <c:pt idx="102">
                  <c:v>171.25689151840271</c:v>
                </c:pt>
                <c:pt idx="103">
                  <c:v>171.40016722002235</c:v>
                </c:pt>
                <c:pt idx="104">
                  <c:v>171.52556903264409</c:v>
                </c:pt>
                <c:pt idx="105">
                  <c:v>171.63332594614934</c:v>
                </c:pt>
                <c:pt idx="106">
                  <c:v>171.7236356710178</c:v>
                </c:pt>
                <c:pt idx="107">
                  <c:v>171.79666449952575</c:v>
                </c:pt>
                <c:pt idx="108">
                  <c:v>171.8525471999765</c:v>
                </c:pt>
                <c:pt idx="109">
                  <c:v>171.89138693622351</c:v>
                </c:pt>
                <c:pt idx="110">
                  <c:v>171.91325520626589</c:v>
                </c:pt>
                <c:pt idx="111">
                  <c:v>171.91819179512709</c:v>
                </c:pt>
                <c:pt idx="112">
                  <c:v>171.90620473859641</c:v>
                </c:pt>
                <c:pt idx="113">
                  <c:v>171.87727029573512</c:v>
                </c:pt>
                <c:pt idx="114">
                  <c:v>171.83133292934127</c:v>
                </c:pt>
                <c:pt idx="115">
                  <c:v>171.76830529484911</c:v>
                </c:pt>
                <c:pt idx="116">
                  <c:v>171.68806823942859</c:v>
                </c:pt>
                <c:pt idx="117">
                  <c:v>171.59047081436429</c:v>
                </c:pt>
                <c:pt idx="118">
                  <c:v>171.4753303051524</c:v>
                </c:pt>
                <c:pt idx="119">
                  <c:v>171.34243228517246</c:v>
                </c:pt>
                <c:pt idx="120">
                  <c:v>171.19153070028949</c:v>
                </c:pt>
                <c:pt idx="121">
                  <c:v>171.02234799333664</c:v>
                </c:pt>
                <c:pt idx="122">
                  <c:v>170.83457527913075</c:v>
                </c:pt>
                <c:pt idx="123">
                  <c:v>170.62787258250975</c:v>
                </c:pt>
                <c:pt idx="124">
                  <c:v>170.40186915384663</c:v>
                </c:pt>
                <c:pt idx="125">
                  <c:v>170.15616387861854</c:v>
                </c:pt>
                <c:pt idx="126">
                  <c:v>169.89032579988432</c:v>
                </c:pt>
                <c:pt idx="127">
                  <c:v>169.60389477495806</c:v>
                </c:pt>
                <c:pt idx="128">
                  <c:v>169.29638229015626</c:v>
                </c:pt>
                <c:pt idx="129">
                  <c:v>168.96727246022385</c:v>
                </c:pt>
                <c:pt idx="130">
                  <c:v>168.61602324189644</c:v>
                </c:pt>
                <c:pt idx="131">
                  <c:v>168.24206789398497</c:v>
                </c:pt>
                <c:pt idx="132">
                  <c:v>167.84481671933912</c:v>
                </c:pt>
                <c:pt idx="133">
                  <c:v>167.42365912696778</c:v>
                </c:pt>
                <c:pt idx="134">
                  <c:v>166.97796605539472</c:v>
                </c:pt>
                <c:pt idx="135">
                  <c:v>166.50709280086687</c:v>
                </c:pt>
                <c:pt idx="136">
                  <c:v>166.01038229617353</c:v>
                </c:pt>
                <c:pt idx="137">
                  <c:v>165.48716888737425</c:v>
                </c:pt>
                <c:pt idx="138">
                  <c:v>164.93678265646213</c:v>
                </c:pt>
                <c:pt idx="139">
                  <c:v>164.35855433761728</c:v>
                </c:pt>
                <c:pt idx="140">
                  <c:v>163.75182087293541</c:v>
                </c:pt>
                <c:pt idx="141">
                  <c:v>163.11593164998504</c:v>
                </c:pt>
                <c:pt idx="142">
                  <c:v>162.45025545785757</c:v>
                </c:pt>
                <c:pt idx="143">
                  <c:v>161.75418819011509</c:v>
                </c:pt>
                <c:pt idx="144">
                  <c:v>161.02716131175808</c:v>
                </c:pt>
                <c:pt idx="145">
                  <c:v>160.26865109261431</c:v>
                </c:pt>
                <c:pt idx="146">
                  <c:v>159.47818859099436</c:v>
                </c:pt>
                <c:pt idx="147">
                  <c:v>158.65537034874913</c:v>
                </c:pt>
                <c:pt idx="148">
                  <c:v>157.79986973183355</c:v>
                </c:pt>
                <c:pt idx="149">
                  <c:v>156.91144881911234</c:v>
                </c:pt>
                <c:pt idx="150">
                  <c:v>155.98997070670742</c:v>
                </c:pt>
                <c:pt idx="151">
                  <c:v>155.03541205626189</c:v>
                </c:pt>
                <c:pt idx="152">
                  <c:v>154.04787567405114</c:v>
                </c:pt>
                <c:pt idx="153">
                  <c:v>153.02760286532634</c:v>
                </c:pt>
                <c:pt idx="154">
                  <c:v>151.97498526654545</c:v>
                </c:pt>
                <c:pt idx="155">
                  <c:v>150.89057581960324</c:v>
                </c:pt>
                <c:pt idx="156">
                  <c:v>149.77509851966016</c:v>
                </c:pt>
                <c:pt idx="157">
                  <c:v>148.62945654484119</c:v>
                </c:pt>
                <c:pt idx="158">
                  <c:v>147.45473836526983</c:v>
                </c:pt>
                <c:pt idx="159">
                  <c:v>146.25222143384647</c:v>
                </c:pt>
                <c:pt idx="160">
                  <c:v>145.0233730847543</c:v>
                </c:pt>
                <c:pt idx="161">
                  <c:v>143.76984830998185</c:v>
                </c:pt>
                <c:pt idx="162">
                  <c:v>142.49348415022661</c:v>
                </c:pt>
                <c:pt idx="163">
                  <c:v>141.19629052397218</c:v>
                </c:pt>
                <c:pt idx="164">
                  <c:v>139.88043742522632</c:v>
                </c:pt>
                <c:pt idx="165">
                  <c:v>138.54823854248878</c:v>
                </c:pt>
                <c:pt idx="166">
                  <c:v>137.20213148336097</c:v>
                </c:pt>
                <c:pt idx="167">
                  <c:v>135.84465492376421</c:v>
                </c:pt>
                <c:pt idx="168">
                  <c:v>134.4784231299142</c:v>
                </c:pt>
                <c:pt idx="169">
                  <c:v>133.10609841665746</c:v>
                </c:pt>
                <c:pt idx="170">
                  <c:v>131.73036219951643</c:v>
                </c:pt>
                <c:pt idx="171">
                  <c:v>130.35388536311868</c:v>
                </c:pt>
                <c:pt idx="172">
                  <c:v>128.97929870070288</c:v>
                </c:pt>
                <c:pt idx="173">
                  <c:v>127.60916417577849</c:v>
                </c:pt>
                <c:pt idx="174">
                  <c:v>126.24594771796242</c:v>
                </c:pt>
                <c:pt idx="175">
                  <c:v>124.89199419355981</c:v>
                </c:pt>
                <c:pt idx="176">
                  <c:v>123.54950509281576</c:v>
                </c:pt>
                <c:pt idx="177">
                  <c:v>122.2205193570498</c:v>
                </c:pt>
                <c:pt idx="178">
                  <c:v>120.90689763818867</c:v>
                </c:pt>
                <c:pt idx="179">
                  <c:v>119.61031014892141</c:v>
                </c:pt>
                <c:pt idx="180">
                  <c:v>118.33222813172722</c:v>
                </c:pt>
                <c:pt idx="181">
                  <c:v>117.0739188561551</c:v>
                </c:pt>
                <c:pt idx="182">
                  <c:v>115.83644395127237</c:v>
                </c:pt>
                <c:pt idx="183">
                  <c:v>114.6206607976239</c:v>
                </c:pt>
                <c:pt idx="184">
                  <c:v>113.42722664212012</c:v>
                </c:pt>
                <c:pt idx="185">
                  <c:v>112.25660506006245</c:v>
                </c:pt>
                <c:pt idx="186">
                  <c:v>111.10907436977134</c:v>
                </c:pt>
                <c:pt idx="187">
                  <c:v>109.98473760468367</c:v>
                </c:pt>
                <c:pt idx="188">
                  <c:v>108.8835336623988</c:v>
                </c:pt>
                <c:pt idx="189">
                  <c:v>107.80524927666926</c:v>
                </c:pt>
                <c:pt idx="190">
                  <c:v>106.74953149347573</c:v>
                </c:pt>
                <c:pt idx="191">
                  <c:v>105.71590037297696</c:v>
                </c:pt>
                <c:pt idx="192">
                  <c:v>104.70376168255835</c:v>
                </c:pt>
                <c:pt idx="193">
                  <c:v>103.71241939012175</c:v>
                </c:pt>
                <c:pt idx="194">
                  <c:v>102.74108780935578</c:v>
                </c:pt>
                <c:pt idx="195">
                  <c:v>101.7889032886888</c:v>
                </c:pt>
                <c:pt idx="196">
                  <c:v>100.85493537203661</c:v>
                </c:pt>
                <c:pt idx="197">
                  <c:v>99.938197391802106</c:v>
                </c:pt>
                <c:pt idx="198">
                  <c:v>99.037656482630766</c:v>
                </c:pt>
                <c:pt idx="199">
                  <c:v>98.15224302817235</c:v>
                </c:pt>
                <c:pt idx="200">
                  <c:v>97.280859572709886</c:v>
                </c:pt>
              </c:numCache>
            </c:numRef>
          </c:yVal>
          <c:smooth val="1"/>
        </c:ser>
        <c:ser>
          <c:idx val="1"/>
          <c:order val="2"/>
          <c:tx>
            <c:v> T(s) with Comp.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95.111753469873051</c:v>
                </c:pt>
                <c:pt idx="1">
                  <c:v>95.241138000220062</c:v>
                </c:pt>
                <c:pt idx="2">
                  <c:v>95.381405415029747</c:v>
                </c:pt>
                <c:pt idx="3">
                  <c:v>95.532819621281604</c:v>
                </c:pt>
                <c:pt idx="4">
                  <c:v>95.695663192551834</c:v>
                </c:pt>
                <c:pt idx="5">
                  <c:v>95.870237267267626</c:v>
                </c:pt>
                <c:pt idx="6">
                  <c:v>96.056861387094187</c:v>
                </c:pt>
                <c:pt idx="7">
                  <c:v>96.255873262141222</c:v>
                </c:pt>
                <c:pt idx="8">
                  <c:v>96.467628447954056</c:v>
                </c:pt>
                <c:pt idx="9">
                  <c:v>96.692499917354951</c:v>
                </c:pt>
                <c:pt idx="10">
                  <c:v>96.930877508129001</c:v>
                </c:pt>
                <c:pt idx="11">
                  <c:v>97.183167225302327</c:v>
                </c:pt>
                <c:pt idx="12">
                  <c:v>97.449790374333801</c:v>
                </c:pt>
                <c:pt idx="13">
                  <c:v>97.731182498967087</c:v>
                </c:pt>
                <c:pt idx="14">
                  <c:v>98.027792094764635</c:v>
                </c:pt>
                <c:pt idx="15">
                  <c:v>98.340079066518229</c:v>
                </c:pt>
                <c:pt idx="16">
                  <c:v>98.668512894845421</c:v>
                </c:pt>
                <c:pt idx="17">
                  <c:v>99.013570474397554</c:v>
                </c:pt>
                <c:pt idx="18">
                  <c:v>99.375733583313135</c:v>
                </c:pt>
                <c:pt idx="19">
                  <c:v>99.755485940964959</c:v>
                </c:pt>
                <c:pt idx="20">
                  <c:v>100.15330980880479</c:v>
                </c:pt>
                <c:pt idx="21">
                  <c:v>100.56968208739178</c:v>
                </c:pt>
                <c:pt idx="22">
                  <c:v>101.00506986170146</c:v>
                </c:pt>
                <c:pt idx="23">
                  <c:v>101.45992534682323</c:v>
                </c:pt>
                <c:pt idx="24">
                  <c:v>101.93468018744859</c:v>
                </c:pt>
                <c:pt idx="25">
                  <c:v>102.42973906748271</c:v>
                </c:pt>
                <c:pt idx="26">
                  <c:v>102.94547259106314</c:v>
                </c:pt>
                <c:pt idx="27">
                  <c:v>103.48220940364509</c:v>
                </c:pt>
                <c:pt idx="28">
                  <c:v>104.04022753207261</c:v>
                </c:pt>
                <c:pt idx="29">
                  <c:v>104.61974493611311</c:v>
                </c:pt>
                <c:pt idx="30">
                  <c:v>105.22090928123168</c:v>
                </c:pt>
                <c:pt idx="31">
                  <c:v>105.84378696375006</c:v>
                </c:pt>
                <c:pt idx="32">
                  <c:v>106.48835144523834</c:v>
                </c:pt>
                <c:pt idx="33">
                  <c:v>107.15447098310206</c:v>
                </c:pt>
                <c:pt idx="34">
                  <c:v>107.84189587871489</c:v>
                </c:pt>
                <c:pt idx="35">
                  <c:v>108.55024540265094</c:v>
                </c:pt>
                <c:pt idx="36">
                  <c:v>109.27899459783636</c:v>
                </c:pt>
                <c:pt idx="37">
                  <c:v>110.02746120446616</c:v>
                </c:pt>
                <c:pt idx="38">
                  <c:v>110.79479299368812</c:v>
                </c:pt>
                <c:pt idx="39">
                  <c:v>111.57995583808854</c:v>
                </c:pt>
                <c:pt idx="40">
                  <c:v>112.38172288333284</c:v>
                </c:pt>
                <c:pt idx="41">
                  <c:v>113.19866521379836</c:v>
                </c:pt>
                <c:pt idx="42">
                  <c:v>114.02914442250403</c:v>
                </c:pt>
                <c:pt idx="43">
                  <c:v>114.87130749870811</c:v>
                </c:pt>
                <c:pt idx="44">
                  <c:v>115.72308443223336</c:v>
                </c:pt>
                <c:pt idx="45">
                  <c:v>116.58218889940301</c:v>
                </c:pt>
                <c:pt idx="46">
                  <c:v>117.44612233996486</c:v>
                </c:pt>
                <c:pt idx="47">
                  <c:v>118.31218165736246</c:v>
                </c:pt>
                <c:pt idx="48">
                  <c:v>119.17747067755624</c:v>
                </c:pt>
                <c:pt idx="49">
                  <c:v>120.03891538753663</c:v>
                </c:pt>
                <c:pt idx="50">
                  <c:v>120.89328284856582</c:v>
                </c:pt>
                <c:pt idx="51">
                  <c:v>121.73720354763492</c:v>
                </c:pt>
                <c:pt idx="52">
                  <c:v>122.56719682127775</c:v>
                </c:pt>
                <c:pt idx="53">
                  <c:v>123.37969886703036</c:v>
                </c:pt>
                <c:pt idx="54">
                  <c:v>124.17109275764703</c:v>
                </c:pt>
                <c:pt idx="55">
                  <c:v>124.9377397988259</c:v>
                </c:pt>
                <c:pt idx="56">
                  <c:v>125.6760115282479</c:v>
                </c:pt>
                <c:pt idx="57">
                  <c:v>126.3823216453831</c:v>
                </c:pt>
                <c:pt idx="58">
                  <c:v>127.05315718838889</c:v>
                </c:pt>
                <c:pt idx="59">
                  <c:v>127.68510833431539</c:v>
                </c:pt>
                <c:pt idx="60">
                  <c:v>128.27489628706897</c:v>
                </c:pt>
                <c:pt idx="61">
                  <c:v>128.81939882737046</c:v>
                </c:pt>
                <c:pt idx="62">
                  <c:v>129.31567322212908</c:v>
                </c:pt>
                <c:pt idx="63">
                  <c:v>129.76097631847139</c:v>
                </c:pt>
                <c:pt idx="64">
                  <c:v>130.15278177150981</c:v>
                </c:pt>
                <c:pt idx="65">
                  <c:v>130.48879446708781</c:v>
                </c:pt>
                <c:pt idx="66">
                  <c:v>130.76696229484799</c:v>
                </c:pt>
                <c:pt idx="67">
                  <c:v>130.98548549848886</c:v>
                </c:pt>
                <c:pt idx="68">
                  <c:v>131.14282387625161</c:v>
                </c:pt>
                <c:pt idx="69">
                  <c:v>131.23770212473255</c:v>
                </c:pt>
                <c:pt idx="70">
                  <c:v>131.26911361384802</c:v>
                </c:pt>
                <c:pt idx="71">
                  <c:v>131.23632285248775</c:v>
                </c:pt>
                <c:pt idx="72">
                  <c:v>131.13886685652324</c:v>
                </c:pt>
                <c:pt idx="73">
                  <c:v>130.97655556763283</c:v>
                </c:pt>
                <c:pt idx="74">
                  <c:v>130.7494713977963</c:v>
                </c:pt>
                <c:pt idx="75">
                  <c:v>130.4579678954787</c:v>
                </c:pt>
                <c:pt idx="76">
                  <c:v>130.10266745093273</c:v>
                </c:pt>
                <c:pt idx="77">
                  <c:v>129.68445788506372</c:v>
                </c:pt>
                <c:pt idx="78">
                  <c:v>129.20448770416539</c:v>
                </c:pt>
                <c:pt idx="79">
                  <c:v>128.66415975637085</c:v>
                </c:pt>
                <c:pt idx="80">
                  <c:v>128.06512299910378</c:v>
                </c:pt>
                <c:pt idx="81">
                  <c:v>127.40926208352006</c:v>
                </c:pt>
                <c:pt idx="82">
                  <c:v>126.69868448403773</c:v>
                </c:pt>
                <c:pt idx="83">
                  <c:v>125.93570494935149</c:v>
                </c:pt>
                <c:pt idx="84">
                  <c:v>125.12282712475385</c:v>
                </c:pt>
                <c:pt idx="85">
                  <c:v>124.2627222913713</c:v>
                </c:pt>
                <c:pt idx="86">
                  <c:v>123.35820528126126</c:v>
                </c:pt>
                <c:pt idx="87">
                  <c:v>122.41220775181966</c:v>
                </c:pt>
                <c:pt idx="88">
                  <c:v>121.42774913074349</c:v>
                </c:pt>
                <c:pt idx="89">
                  <c:v>120.40790566526417</c:v>
                </c:pt>
                <c:pt idx="90">
                  <c:v>119.35577811778275</c:v>
                </c:pt>
                <c:pt idx="91">
                  <c:v>118.27445873627553</c:v>
                </c:pt>
                <c:pt idx="92">
                  <c:v>117.16699818533213</c:v>
                </c:pt>
                <c:pt idx="93">
                  <c:v>116.03637314786113</c:v>
                </c:pt>
                <c:pt idx="94">
                  <c:v>114.88545529645771</c:v>
                </c:pt>
                <c:pt idx="95">
                  <c:v>113.7169822879373</c:v>
                </c:pt>
                <c:pt idx="96">
                  <c:v>112.53353135805733</c:v>
                </c:pt>
                <c:pt idx="97">
                  <c:v>111.33749599168557</c:v>
                </c:pt>
                <c:pt idx="98">
                  <c:v>110.13106602389948</c:v>
                </c:pt>
                <c:pt idx="99">
                  <c:v>108.91621139796072</c:v>
                </c:pt>
                <c:pt idx="100">
                  <c:v>107.69466967500904</c:v>
                </c:pt>
                <c:pt idx="101">
                  <c:v>106.46793726535149</c:v>
                </c:pt>
                <c:pt idx="102">
                  <c:v>105.2372642387591</c:v>
                </c:pt>
                <c:pt idx="103">
                  <c:v>104.00365247606101</c:v>
                </c:pt>
                <c:pt idx="104">
                  <c:v>102.76785684955814</c:v>
                </c:pt>
                <c:pt idx="105">
                  <c:v>101.53038906668301</c:v>
                </c:pt>
                <c:pt idx="106">
                  <c:v>100.29152377958717</c:v>
                </c:pt>
                <c:pt idx="107">
                  <c:v>99.051306551388024</c:v>
                </c:pt>
                <c:pt idx="108">
                  <c:v>97.809563275196254</c:v>
                </c:pt>
                <c:pt idx="109">
                  <c:v>96.565910661643414</c:v>
                </c:pt>
                <c:pt idx="110">
                  <c:v>95.31976744123368</c:v>
                </c:pt>
                <c:pt idx="111">
                  <c:v>94.070365966146738</c:v>
                </c:pt>
                <c:pt idx="112">
                  <c:v>92.816763939160268</c:v>
                </c:pt>
                <c:pt idx="113">
                  <c:v>91.55785604251632</c:v>
                </c:pt>
                <c:pt idx="114">
                  <c:v>90.29238528475075</c:v>
                </c:pt>
                <c:pt idx="115">
                  <c:v>89.018953927020917</c:v>
                </c:pt>
                <c:pt idx="116">
                  <c:v>87.7360338912016</c:v>
                </c:pt>
                <c:pt idx="117">
                  <c:v>86.441976589203861</c:v>
                </c:pt>
                <c:pt idx="118">
                  <c:v>85.135022146194729</c:v>
                </c:pt>
                <c:pt idx="119">
                  <c:v>83.81330801960226</c:v>
                </c:pt>
                <c:pt idx="120">
                  <c:v>82.474877041048217</c:v>
                </c:pt>
                <c:pt idx="121">
                  <c:v>81.117684929983099</c:v>
                </c:pt>
                <c:pt idx="122">
                  <c:v>79.739607346100456</c:v>
                </c:pt>
                <c:pt idx="123">
                  <c:v>78.338446563075422</c:v>
                </c:pt>
                <c:pt idx="124">
                  <c:v>76.911937859138376</c:v>
                </c:pt>
                <c:pt idx="125">
                  <c:v>75.457755730931694</c:v>
                </c:pt>
                <c:pt idx="126">
                  <c:v>73.97352004629991</c:v>
                </c:pt>
                <c:pt idx="127">
                  <c:v>72.456802259457561</c:v>
                </c:pt>
                <c:pt idx="128">
                  <c:v>70.905131818556882</c:v>
                </c:pt>
                <c:pt idx="129">
                  <c:v>69.316002901167266</c:v>
                </c:pt>
                <c:pt idx="130">
                  <c:v>67.686881617631769</c:v>
                </c:pt>
                <c:pt idx="131">
                  <c:v>66.015213825586088</c:v>
                </c:pt>
                <c:pt idx="132">
                  <c:v>64.298433700987133</c:v>
                </c:pt>
                <c:pt idx="133">
                  <c:v>62.533973211486597</c:v>
                </c:pt>
                <c:pt idx="134">
                  <c:v>60.719272636585231</c:v>
                </c:pt>
                <c:pt idx="135">
                  <c:v>58.851792275172343</c:v>
                </c:pt>
                <c:pt idx="136">
                  <c:v>56.929025474308744</c:v>
                </c:pt>
                <c:pt idx="137">
                  <c:v>54.948513102715012</c:v>
                </c:pt>
                <c:pt idx="138">
                  <c:v>52.907859577772797</c:v>
                </c:pt>
                <c:pt idx="139">
                  <c:v>50.804750535102642</c:v>
                </c:pt>
                <c:pt idx="140">
                  <c:v>48.636972204299781</c:v>
                </c:pt>
                <c:pt idx="141">
                  <c:v>46.402432522456337</c:v>
                </c:pt>
                <c:pt idx="142">
                  <c:v>44.099183978182822</c:v>
                </c:pt>
                <c:pt idx="143">
                  <c:v>41.72544813256809</c:v>
                </c:pt>
                <c:pt idx="144">
                  <c:v>39.279641709841769</c:v>
                </c:pt>
                <c:pt idx="145">
                  <c:v>36.760404089736994</c:v>
                </c:pt>
                <c:pt idx="146">
                  <c:v>34.166625966417655</c:v>
                </c:pt>
                <c:pt idx="147">
                  <c:v>31.497478866669468</c:v>
                </c:pt>
                <c:pt idx="148">
                  <c:v>28.752445144689858</c:v>
                </c:pt>
                <c:pt idx="149">
                  <c:v>25.931347994770164</c:v>
                </c:pt>
                <c:pt idx="150">
                  <c:v>23.034380949471569</c:v>
                </c:pt>
                <c:pt idx="151">
                  <c:v>20.062136263112052</c:v>
                </c:pt>
                <c:pt idx="152">
                  <c:v>17.015631522415219</c:v>
                </c:pt>
                <c:pt idx="153">
                  <c:v>13.896333782020747</c:v>
                </c:pt>
                <c:pt idx="154">
                  <c:v>10.706180496176614</c:v>
                </c:pt>
                <c:pt idx="155">
                  <c:v>7.4475965127908808</c:v>
                </c:pt>
                <c:pt idx="156">
                  <c:v>4.1235064149413461</c:v>
                </c:pt>
                <c:pt idx="157">
                  <c:v>0.73734153976423045</c:v>
                </c:pt>
                <c:pt idx="158">
                  <c:v>-2.7069589239508787</c:v>
                </c:pt>
                <c:pt idx="159">
                  <c:v>-6.2049532607580602</c:v>
                </c:pt>
                <c:pt idx="160">
                  <c:v>-9.7517093559266641</c:v>
                </c:pt>
                <c:pt idx="161">
                  <c:v>-13.341823862405789</c:v>
                </c:pt>
                <c:pt idx="162">
                  <c:v>-16.969448485042307</c:v>
                </c:pt>
                <c:pt idx="163">
                  <c:v>-20.628323287938457</c:v>
                </c:pt>
                <c:pt idx="164">
                  <c:v>-24.311816752297176</c:v>
                </c:pt>
                <c:pt idx="165">
                  <c:v>-28.012972132386153</c:v>
                </c:pt>
                <c:pt idx="166">
                  <c:v>-31.724559482306631</c:v>
                </c:pt>
                <c:pt idx="167">
                  <c:v>-35.43913256185192</c:v>
                </c:pt>
                <c:pt idx="168">
                  <c:v>-39.149089681889365</c:v>
                </c:pt>
                <c:pt idx="169">
                  <c:v>-42.846737423986241</c:v>
                </c:pt>
                <c:pt idx="170">
                  <c:v>-46.524356071071395</c:v>
                </c:pt>
                <c:pt idx="171">
                  <c:v>-50.174265520641654</c:v>
                </c:pt>
                <c:pt idx="172">
                  <c:v>-53.788890423794356</c:v>
                </c:pt>
                <c:pt idx="173">
                  <c:v>-57.360823305110756</c:v>
                </c:pt>
                <c:pt idx="174">
                  <c:v>-60.882884471756626</c:v>
                </c:pt>
                <c:pt idx="175">
                  <c:v>-64.348177614578034</c:v>
                </c:pt>
                <c:pt idx="176">
                  <c:v>-67.7501401368188</c:v>
                </c:pt>
                <c:pt idx="177">
                  <c:v>-71.082587412480706</c:v>
                </c:pt>
                <c:pt idx="178">
                  <c:v>-74.339750369216787</c:v>
                </c:pt>
                <c:pt idx="179">
                  <c:v>-77.516306001312358</c:v>
                </c:pt>
                <c:pt idx="180">
                  <c:v>-80.607400636878921</c:v>
                </c:pt>
                <c:pt idx="181">
                  <c:v>-83.608665999721737</c:v>
                </c:pt>
                <c:pt idx="182">
                  <c:v>-86.516228310460889</c:v>
                </c:pt>
                <c:pt idx="183">
                  <c:v>-89.326710854842943</c:v>
                </c:pt>
                <c:pt idx="184">
                  <c:v>-92.037230602499093</c:v>
                </c:pt>
                <c:pt idx="185">
                  <c:v>-94.64538958192027</c:v>
                </c:pt>
                <c:pt idx="186">
                  <c:v>-97.149261804192918</c:v>
                </c:pt>
                <c:pt idx="187">
                  <c:v>-99.547376578632395</c:v>
                </c:pt>
                <c:pt idx="188">
                  <c:v>-101.83869907920345</c:v>
                </c:pt>
                <c:pt idx="189">
                  <c:v>-104.02260900445569</c:v>
                </c:pt>
                <c:pt idx="190">
                  <c:v>-106.09887812974459</c:v>
                </c:pt>
                <c:pt idx="191">
                  <c:v>-108.06764748344487</c:v>
                </c:pt>
                <c:pt idx="192">
                  <c:v>-109.92940479367273</c:v>
                </c:pt>
                <c:pt idx="193">
                  <c:v>-111.68496275349236</c:v>
                </c:pt>
                <c:pt idx="194">
                  <c:v>-113.33543854518436</c:v>
                </c:pt>
                <c:pt idx="195">
                  <c:v>-114.88223495169657</c:v>
                </c:pt>
                <c:pt idx="196">
                  <c:v>-116.32702326924449</c:v>
                </c:pt>
                <c:pt idx="197">
                  <c:v>-117.67172812182041</c:v>
                </c:pt>
                <c:pt idx="198">
                  <c:v>-118.91851416841472</c:v>
                </c:pt>
                <c:pt idx="199">
                  <c:v>-120.0697745889297</c:v>
                </c:pt>
                <c:pt idx="200">
                  <c:v>-121.12812113688705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74656"/>
        <c:axId val="95605504"/>
      </c:scatterChart>
      <c:valAx>
        <c:axId val="9557465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605504"/>
        <c:crosses val="autoZero"/>
        <c:crossBetween val="midCat"/>
      </c:valAx>
      <c:valAx>
        <c:axId val="956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746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062134821087068"/>
          <c:y val="2.5210098737657793E-2"/>
          <c:w val="0.35287865398734708"/>
          <c:h val="0.13445419322584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8842975206617E-2"/>
          <c:y val="8.3798996976198303E-2"/>
          <c:w val="0.87107438016528926"/>
          <c:h val="0.84636986945960291"/>
        </c:manualLayout>
      </c:layout>
      <c:scatterChart>
        <c:scatterStyle val="smoothMarker"/>
        <c:varyColors val="0"/>
        <c:ser>
          <c:idx val="3"/>
          <c:order val="0"/>
          <c:tx>
            <c:v>Phase Margin Closed Loop</c:v>
          </c:tx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Compensation!$BF$64:$BF$264</c:f>
              <c:numCache>
                <c:formatCode>General</c:formatCode>
                <c:ptCount val="201"/>
                <c:pt idx="0">
                  <c:v>95.111753469873051</c:v>
                </c:pt>
                <c:pt idx="1">
                  <c:v>95.241138000220062</c:v>
                </c:pt>
                <c:pt idx="2">
                  <c:v>95.381405415029747</c:v>
                </c:pt>
                <c:pt idx="3">
                  <c:v>95.532819621281604</c:v>
                </c:pt>
                <c:pt idx="4">
                  <c:v>95.695663192551834</c:v>
                </c:pt>
                <c:pt idx="5">
                  <c:v>95.870237267267626</c:v>
                </c:pt>
                <c:pt idx="6">
                  <c:v>96.056861387094187</c:v>
                </c:pt>
                <c:pt idx="7">
                  <c:v>96.255873262141222</c:v>
                </c:pt>
                <c:pt idx="8">
                  <c:v>96.467628447954056</c:v>
                </c:pt>
                <c:pt idx="9">
                  <c:v>96.692499917354951</c:v>
                </c:pt>
                <c:pt idx="10">
                  <c:v>96.930877508129001</c:v>
                </c:pt>
                <c:pt idx="11">
                  <c:v>97.183167225302327</c:v>
                </c:pt>
                <c:pt idx="12">
                  <c:v>97.449790374333801</c:v>
                </c:pt>
                <c:pt idx="13">
                  <c:v>97.731182498967087</c:v>
                </c:pt>
                <c:pt idx="14">
                  <c:v>98.027792094764635</c:v>
                </c:pt>
                <c:pt idx="15">
                  <c:v>98.340079066518229</c:v>
                </c:pt>
                <c:pt idx="16">
                  <c:v>98.668512894845421</c:v>
                </c:pt>
                <c:pt idx="17">
                  <c:v>99.013570474397554</c:v>
                </c:pt>
                <c:pt idx="18">
                  <c:v>99.375733583313135</c:v>
                </c:pt>
                <c:pt idx="19">
                  <c:v>99.755485940964959</c:v>
                </c:pt>
                <c:pt idx="20">
                  <c:v>100.15330980880479</c:v>
                </c:pt>
                <c:pt idx="21">
                  <c:v>100.56968208739178</c:v>
                </c:pt>
                <c:pt idx="22">
                  <c:v>101.00506986170146</c:v>
                </c:pt>
                <c:pt idx="23">
                  <c:v>101.45992534682323</c:v>
                </c:pt>
                <c:pt idx="24">
                  <c:v>101.93468018744859</c:v>
                </c:pt>
                <c:pt idx="25">
                  <c:v>102.42973906748271</c:v>
                </c:pt>
                <c:pt idx="26">
                  <c:v>102.94547259106314</c:v>
                </c:pt>
                <c:pt idx="27">
                  <c:v>103.48220940364509</c:v>
                </c:pt>
                <c:pt idx="28">
                  <c:v>104.04022753207261</c:v>
                </c:pt>
                <c:pt idx="29">
                  <c:v>104.61974493611311</c:v>
                </c:pt>
                <c:pt idx="30">
                  <c:v>105.22090928123168</c:v>
                </c:pt>
                <c:pt idx="31">
                  <c:v>105.84378696375006</c:v>
                </c:pt>
                <c:pt idx="32">
                  <c:v>106.48835144523834</c:v>
                </c:pt>
                <c:pt idx="33">
                  <c:v>107.15447098310206</c:v>
                </c:pt>
                <c:pt idx="34">
                  <c:v>107.84189587871489</c:v>
                </c:pt>
                <c:pt idx="35">
                  <c:v>108.55024540265094</c:v>
                </c:pt>
                <c:pt idx="36">
                  <c:v>109.27899459783636</c:v>
                </c:pt>
                <c:pt idx="37">
                  <c:v>110.02746120446616</c:v>
                </c:pt>
                <c:pt idx="38">
                  <c:v>110.79479299368812</c:v>
                </c:pt>
                <c:pt idx="39">
                  <c:v>111.57995583808854</c:v>
                </c:pt>
                <c:pt idx="40">
                  <c:v>112.38172288333284</c:v>
                </c:pt>
                <c:pt idx="41">
                  <c:v>113.19866521379836</c:v>
                </c:pt>
                <c:pt idx="42">
                  <c:v>114.02914442250403</c:v>
                </c:pt>
                <c:pt idx="43">
                  <c:v>114.87130749870811</c:v>
                </c:pt>
                <c:pt idx="44">
                  <c:v>115.72308443223336</c:v>
                </c:pt>
                <c:pt idx="45">
                  <c:v>116.58218889940301</c:v>
                </c:pt>
                <c:pt idx="46">
                  <c:v>117.44612233996486</c:v>
                </c:pt>
                <c:pt idx="47">
                  <c:v>118.31218165736246</c:v>
                </c:pt>
                <c:pt idx="48">
                  <c:v>119.17747067755624</c:v>
                </c:pt>
                <c:pt idx="49">
                  <c:v>120.03891538753663</c:v>
                </c:pt>
                <c:pt idx="50">
                  <c:v>120.89328284856582</c:v>
                </c:pt>
                <c:pt idx="51">
                  <c:v>121.73720354763492</c:v>
                </c:pt>
                <c:pt idx="52">
                  <c:v>122.56719682127775</c:v>
                </c:pt>
                <c:pt idx="53">
                  <c:v>123.37969886703036</c:v>
                </c:pt>
                <c:pt idx="54">
                  <c:v>124.17109275764703</c:v>
                </c:pt>
                <c:pt idx="55">
                  <c:v>124.9377397988259</c:v>
                </c:pt>
                <c:pt idx="56">
                  <c:v>125.6760115282479</c:v>
                </c:pt>
                <c:pt idx="57">
                  <c:v>126.3823216453831</c:v>
                </c:pt>
                <c:pt idx="58">
                  <c:v>127.05315718838889</c:v>
                </c:pt>
                <c:pt idx="59">
                  <c:v>127.68510833431539</c:v>
                </c:pt>
                <c:pt idx="60">
                  <c:v>128.27489628706897</c:v>
                </c:pt>
                <c:pt idx="61">
                  <c:v>128.81939882737046</c:v>
                </c:pt>
                <c:pt idx="62">
                  <c:v>129.31567322212908</c:v>
                </c:pt>
                <c:pt idx="63">
                  <c:v>129.76097631847139</c:v>
                </c:pt>
                <c:pt idx="64">
                  <c:v>130.15278177150981</c:v>
                </c:pt>
                <c:pt idx="65">
                  <c:v>130.48879446708781</c:v>
                </c:pt>
                <c:pt idx="66">
                  <c:v>130.76696229484799</c:v>
                </c:pt>
                <c:pt idx="67">
                  <c:v>130.98548549848886</c:v>
                </c:pt>
                <c:pt idx="68">
                  <c:v>131.14282387625161</c:v>
                </c:pt>
                <c:pt idx="69">
                  <c:v>131.23770212473255</c:v>
                </c:pt>
                <c:pt idx="70">
                  <c:v>131.26911361384802</c:v>
                </c:pt>
                <c:pt idx="71">
                  <c:v>131.23632285248775</c:v>
                </c:pt>
                <c:pt idx="72">
                  <c:v>131.13886685652324</c:v>
                </c:pt>
                <c:pt idx="73">
                  <c:v>130.97655556763283</c:v>
                </c:pt>
                <c:pt idx="74">
                  <c:v>130.7494713977963</c:v>
                </c:pt>
                <c:pt idx="75">
                  <c:v>130.4579678954787</c:v>
                </c:pt>
                <c:pt idx="76">
                  <c:v>130.10266745093273</c:v>
                </c:pt>
                <c:pt idx="77">
                  <c:v>129.68445788506372</c:v>
                </c:pt>
                <c:pt idx="78">
                  <c:v>129.20448770416539</c:v>
                </c:pt>
                <c:pt idx="79">
                  <c:v>128.66415975637085</c:v>
                </c:pt>
                <c:pt idx="80">
                  <c:v>128.06512299910378</c:v>
                </c:pt>
                <c:pt idx="81">
                  <c:v>127.40926208352006</c:v>
                </c:pt>
                <c:pt idx="82">
                  <c:v>126.69868448403773</c:v>
                </c:pt>
                <c:pt idx="83">
                  <c:v>125.93570494935149</c:v>
                </c:pt>
                <c:pt idx="84">
                  <c:v>125.12282712475385</c:v>
                </c:pt>
                <c:pt idx="85">
                  <c:v>124.2627222913713</c:v>
                </c:pt>
                <c:pt idx="86">
                  <c:v>123.35820528126126</c:v>
                </c:pt>
                <c:pt idx="87">
                  <c:v>122.41220775181966</c:v>
                </c:pt>
                <c:pt idx="88">
                  <c:v>121.42774913074349</c:v>
                </c:pt>
                <c:pt idx="89">
                  <c:v>120.40790566526417</c:v>
                </c:pt>
                <c:pt idx="90">
                  <c:v>119.35577811778275</c:v>
                </c:pt>
                <c:pt idx="91">
                  <c:v>118.27445873627553</c:v>
                </c:pt>
                <c:pt idx="92">
                  <c:v>117.16699818533213</c:v>
                </c:pt>
                <c:pt idx="93">
                  <c:v>116.03637314786113</c:v>
                </c:pt>
                <c:pt idx="94">
                  <c:v>114.88545529645771</c:v>
                </c:pt>
                <c:pt idx="95">
                  <c:v>113.7169822879373</c:v>
                </c:pt>
                <c:pt idx="96">
                  <c:v>112.53353135805733</c:v>
                </c:pt>
                <c:pt idx="97">
                  <c:v>111.33749599168557</c:v>
                </c:pt>
                <c:pt idx="98">
                  <c:v>110.13106602389948</c:v>
                </c:pt>
                <c:pt idx="99">
                  <c:v>108.91621139796072</c:v>
                </c:pt>
                <c:pt idx="100">
                  <c:v>107.69466967500904</c:v>
                </c:pt>
                <c:pt idx="101">
                  <c:v>106.46793726535149</c:v>
                </c:pt>
                <c:pt idx="102">
                  <c:v>105.2372642387591</c:v>
                </c:pt>
                <c:pt idx="103">
                  <c:v>104.00365247606101</c:v>
                </c:pt>
                <c:pt idx="104">
                  <c:v>102.76785684955814</c:v>
                </c:pt>
                <c:pt idx="105">
                  <c:v>101.53038906668301</c:v>
                </c:pt>
                <c:pt idx="106">
                  <c:v>100.29152377958717</c:v>
                </c:pt>
                <c:pt idx="107">
                  <c:v>99.051306551388024</c:v>
                </c:pt>
                <c:pt idx="108">
                  <c:v>97.809563275196254</c:v>
                </c:pt>
                <c:pt idx="109">
                  <c:v>96.565910661643414</c:v>
                </c:pt>
                <c:pt idx="110">
                  <c:v>95.31976744123368</c:v>
                </c:pt>
                <c:pt idx="111">
                  <c:v>94.070365966146738</c:v>
                </c:pt>
                <c:pt idx="112">
                  <c:v>92.816763939160268</c:v>
                </c:pt>
                <c:pt idx="113">
                  <c:v>91.55785604251632</c:v>
                </c:pt>
                <c:pt idx="114">
                  <c:v>90.29238528475075</c:v>
                </c:pt>
                <c:pt idx="115">
                  <c:v>89.018953927020917</c:v>
                </c:pt>
                <c:pt idx="116">
                  <c:v>87.7360338912016</c:v>
                </c:pt>
                <c:pt idx="117">
                  <c:v>86.441976589203861</c:v>
                </c:pt>
                <c:pt idx="118">
                  <c:v>85.135022146194729</c:v>
                </c:pt>
                <c:pt idx="119">
                  <c:v>83.81330801960226</c:v>
                </c:pt>
                <c:pt idx="120">
                  <c:v>82.474877041048217</c:v>
                </c:pt>
                <c:pt idx="121">
                  <c:v>81.117684929983099</c:v>
                </c:pt>
                <c:pt idx="122">
                  <c:v>79.739607346100456</c:v>
                </c:pt>
                <c:pt idx="123">
                  <c:v>78.338446563075422</c:v>
                </c:pt>
                <c:pt idx="124">
                  <c:v>76.911937859138376</c:v>
                </c:pt>
                <c:pt idx="125">
                  <c:v>75.457755730931694</c:v>
                </c:pt>
                <c:pt idx="126">
                  <c:v>73.97352004629991</c:v>
                </c:pt>
                <c:pt idx="127">
                  <c:v>72.456802259457561</c:v>
                </c:pt>
                <c:pt idx="128">
                  <c:v>70.905131818556882</c:v>
                </c:pt>
                <c:pt idx="129">
                  <c:v>69.316002901167266</c:v>
                </c:pt>
                <c:pt idx="130">
                  <c:v>67.686881617631769</c:v>
                </c:pt>
                <c:pt idx="131">
                  <c:v>66.015213825586088</c:v>
                </c:pt>
                <c:pt idx="132">
                  <c:v>64.298433700987133</c:v>
                </c:pt>
                <c:pt idx="133">
                  <c:v>62.533973211486597</c:v>
                </c:pt>
                <c:pt idx="134">
                  <c:v>60.719272636585231</c:v>
                </c:pt>
                <c:pt idx="135">
                  <c:v>58.851792275172343</c:v>
                </c:pt>
                <c:pt idx="136">
                  <c:v>56.929025474308744</c:v>
                </c:pt>
                <c:pt idx="137">
                  <c:v>54.948513102715012</c:v>
                </c:pt>
                <c:pt idx="138">
                  <c:v>52.907859577772797</c:v>
                </c:pt>
                <c:pt idx="139">
                  <c:v>50.804750535102642</c:v>
                </c:pt>
                <c:pt idx="140">
                  <c:v>48.636972204299781</c:v>
                </c:pt>
                <c:pt idx="141">
                  <c:v>46.402432522456337</c:v>
                </c:pt>
                <c:pt idx="142">
                  <c:v>44.099183978182822</c:v>
                </c:pt>
                <c:pt idx="143">
                  <c:v>41.72544813256809</c:v>
                </c:pt>
                <c:pt idx="144">
                  <c:v>39.279641709841769</c:v>
                </c:pt>
                <c:pt idx="145">
                  <c:v>36.760404089736994</c:v>
                </c:pt>
                <c:pt idx="146">
                  <c:v>34.166625966417655</c:v>
                </c:pt>
                <c:pt idx="147">
                  <c:v>31.497478866669468</c:v>
                </c:pt>
                <c:pt idx="148">
                  <c:v>28.752445144689858</c:v>
                </c:pt>
                <c:pt idx="149">
                  <c:v>25.931347994770164</c:v>
                </c:pt>
                <c:pt idx="150">
                  <c:v>23.034380949471569</c:v>
                </c:pt>
                <c:pt idx="151">
                  <c:v>20.062136263112052</c:v>
                </c:pt>
                <c:pt idx="152">
                  <c:v>17.015631522415219</c:v>
                </c:pt>
                <c:pt idx="153">
                  <c:v>13.896333782020747</c:v>
                </c:pt>
                <c:pt idx="154">
                  <c:v>10.706180496176614</c:v>
                </c:pt>
                <c:pt idx="155">
                  <c:v>7.4475965127908808</c:v>
                </c:pt>
                <c:pt idx="156">
                  <c:v>4.1235064149413461</c:v>
                </c:pt>
                <c:pt idx="157">
                  <c:v>0.73734153976423045</c:v>
                </c:pt>
                <c:pt idx="158">
                  <c:v>-2.7069589239508787</c:v>
                </c:pt>
                <c:pt idx="159">
                  <c:v>-6.2049532607580602</c:v>
                </c:pt>
                <c:pt idx="160">
                  <c:v>-9.7517093559266641</c:v>
                </c:pt>
                <c:pt idx="161">
                  <c:v>-13.341823862405789</c:v>
                </c:pt>
                <c:pt idx="162">
                  <c:v>-16.969448485042307</c:v>
                </c:pt>
                <c:pt idx="163">
                  <c:v>-20.628323287938457</c:v>
                </c:pt>
                <c:pt idx="164">
                  <c:v>-24.311816752297176</c:v>
                </c:pt>
                <c:pt idx="165">
                  <c:v>-28.012972132386153</c:v>
                </c:pt>
                <c:pt idx="166">
                  <c:v>-31.724559482306631</c:v>
                </c:pt>
                <c:pt idx="167">
                  <c:v>-35.43913256185192</c:v>
                </c:pt>
                <c:pt idx="168">
                  <c:v>-39.149089681889365</c:v>
                </c:pt>
                <c:pt idx="169">
                  <c:v>-42.846737423986241</c:v>
                </c:pt>
                <c:pt idx="170">
                  <c:v>-46.524356071071395</c:v>
                </c:pt>
                <c:pt idx="171">
                  <c:v>-50.174265520641654</c:v>
                </c:pt>
                <c:pt idx="172">
                  <c:v>-53.788890423794356</c:v>
                </c:pt>
                <c:pt idx="173">
                  <c:v>-57.360823305110756</c:v>
                </c:pt>
                <c:pt idx="174">
                  <c:v>-60.882884471756626</c:v>
                </c:pt>
                <c:pt idx="175">
                  <c:v>-64.348177614578034</c:v>
                </c:pt>
                <c:pt idx="176">
                  <c:v>-67.7501401368188</c:v>
                </c:pt>
                <c:pt idx="177">
                  <c:v>-71.082587412480706</c:v>
                </c:pt>
                <c:pt idx="178">
                  <c:v>-74.339750369216787</c:v>
                </c:pt>
                <c:pt idx="179">
                  <c:v>-77.516306001312358</c:v>
                </c:pt>
                <c:pt idx="180">
                  <c:v>-80.607400636878921</c:v>
                </c:pt>
                <c:pt idx="181">
                  <c:v>-83.608665999721737</c:v>
                </c:pt>
                <c:pt idx="182">
                  <c:v>-86.516228310460889</c:v>
                </c:pt>
                <c:pt idx="183">
                  <c:v>-89.326710854842943</c:v>
                </c:pt>
                <c:pt idx="184">
                  <c:v>-92.037230602499093</c:v>
                </c:pt>
                <c:pt idx="185">
                  <c:v>-94.64538958192027</c:v>
                </c:pt>
                <c:pt idx="186">
                  <c:v>-97.149261804192918</c:v>
                </c:pt>
                <c:pt idx="187">
                  <c:v>-99.547376578632395</c:v>
                </c:pt>
                <c:pt idx="188">
                  <c:v>-101.83869907920345</c:v>
                </c:pt>
                <c:pt idx="189">
                  <c:v>-104.02260900445569</c:v>
                </c:pt>
                <c:pt idx="190">
                  <c:v>-106.09887812974459</c:v>
                </c:pt>
                <c:pt idx="191">
                  <c:v>-108.06764748344487</c:v>
                </c:pt>
                <c:pt idx="192">
                  <c:v>-109.92940479367273</c:v>
                </c:pt>
                <c:pt idx="193">
                  <c:v>-111.68496275349236</c:v>
                </c:pt>
                <c:pt idx="194">
                  <c:v>-113.33543854518436</c:v>
                </c:pt>
                <c:pt idx="195">
                  <c:v>-114.88223495169657</c:v>
                </c:pt>
                <c:pt idx="196">
                  <c:v>-116.32702326924449</c:v>
                </c:pt>
                <c:pt idx="197">
                  <c:v>-117.67172812182041</c:v>
                </c:pt>
                <c:pt idx="198">
                  <c:v>-118.91851416841472</c:v>
                </c:pt>
                <c:pt idx="199">
                  <c:v>-120.0697745889297</c:v>
                </c:pt>
                <c:pt idx="200">
                  <c:v>-121.12812113688705</c:v>
                </c:pt>
              </c:numCache>
            </c:numRef>
          </c:yVal>
          <c:smooth val="1"/>
        </c:ser>
        <c:ser>
          <c:idx val="0"/>
          <c:order val="1"/>
          <c:tx>
            <c:v>Measured</c:v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92672"/>
        <c:axId val="95694848"/>
      </c:scatterChart>
      <c:valAx>
        <c:axId val="95692672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94848"/>
        <c:crosses val="autoZero"/>
        <c:crossBetween val="midCat"/>
      </c:valAx>
      <c:valAx>
        <c:axId val="9569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692672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771371847696773"/>
          <c:y val="8.4913435701772427E-2"/>
          <c:w val="0.28648259084959882"/>
          <c:h val="0.16789920262342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76829258318375E-2"/>
          <c:y val="8.0779944289693595E-2"/>
          <c:w val="0.88609860189391276"/>
          <c:h val="0.85236768802228413"/>
        </c:manualLayout>
      </c:layout>
      <c:scatterChart>
        <c:scatterStyle val="smoothMarker"/>
        <c:varyColors val="0"/>
        <c:ser>
          <c:idx val="3"/>
          <c:order val="0"/>
          <c:tx>
            <c:v>Bandwidth of Closed Loop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Compensation!$B$64:$B$264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Compensation!$BE$64:$BE$264</c:f>
              <c:numCache>
                <c:formatCode>General</c:formatCode>
                <c:ptCount val="201"/>
                <c:pt idx="0">
                  <c:v>32.773590410791229</c:v>
                </c:pt>
                <c:pt idx="1">
                  <c:v>32.376720033896184</c:v>
                </c:pt>
                <c:pt idx="2">
                  <c:v>31.980118322031856</c:v>
                </c:pt>
                <c:pt idx="3">
                  <c:v>31.583813403178141</c:v>
                </c:pt>
                <c:pt idx="4">
                  <c:v>31.18783578155497</c:v>
                </c:pt>
                <c:pt idx="5">
                  <c:v>30.792218568097351</c:v>
                </c:pt>
                <c:pt idx="6">
                  <c:v>30.396997727499048</c:v>
                </c:pt>
                <c:pt idx="7">
                  <c:v>30.002212342851532</c:v>
                </c:pt>
                <c:pt idx="8">
                  <c:v>29.607904898856972</c:v>
                </c:pt>
                <c:pt idx="9">
                  <c:v>29.214121584516178</c:v>
                </c:pt>
                <c:pt idx="10">
                  <c:v>28.820912616085984</c:v>
                </c:pt>
                <c:pt idx="11">
                  <c:v>28.428332580951189</c:v>
                </c:pt>
                <c:pt idx="12">
                  <c:v>28.03644080285985</c:v>
                </c:pt>
                <c:pt idx="13">
                  <c:v>27.64530172871709</c:v>
                </c:pt>
                <c:pt idx="14">
                  <c:v>27.25498533681245</c:v>
                </c:pt>
                <c:pt idx="15">
                  <c:v>26.865567565954898</c:v>
                </c:pt>
                <c:pt idx="16">
                  <c:v>26.477130764500338</c:v>
                </c:pt>
                <c:pt idx="17">
                  <c:v>26.089764157659733</c:v>
                </c:pt>
                <c:pt idx="18">
                  <c:v>25.703564330762969</c:v>
                </c:pt>
                <c:pt idx="19">
                  <c:v>25.318635725309136</c:v>
                </c:pt>
                <c:pt idx="20">
                  <c:v>24.935091143640715</c:v>
                </c:pt>
                <c:pt idx="21">
                  <c:v>24.553052256933746</c:v>
                </c:pt>
                <c:pt idx="22">
                  <c:v>24.172650109874954</c:v>
                </c:pt>
                <c:pt idx="23">
                  <c:v>23.794025613913306</c:v>
                </c:pt>
                <c:pt idx="24">
                  <c:v>23.417330019304238</c:v>
                </c:pt>
                <c:pt idx="25">
                  <c:v>23.042725354338241</c:v>
                </c:pt>
                <c:pt idx="26">
                  <c:v>22.67038481816607</c:v>
                </c:pt>
                <c:pt idx="27">
                  <c:v>22.300493111535005</c:v>
                </c:pt>
                <c:pt idx="28">
                  <c:v>21.933246687578173</c:v>
                </c:pt>
                <c:pt idx="29">
                  <c:v>21.568853902629268</c:v>
                </c:pt>
                <c:pt idx="30">
                  <c:v>21.207535044931831</c:v>
                </c:pt>
                <c:pt idx="31">
                  <c:v>20.849522217216151</c:v>
                </c:pt>
                <c:pt idx="32">
                  <c:v>20.495059047546562</c:v>
                </c:pt>
                <c:pt idx="33">
                  <c:v>20.144400201765251</c:v>
                </c:pt>
                <c:pt idx="34">
                  <c:v>19.797810670469357</c:v>
                </c:pt>
                <c:pt idx="35">
                  <c:v>19.45556480396305</c:v>
                </c:pt>
                <c:pt idx="36">
                  <c:v>19.11794507021909</c:v>
                </c:pt>
                <c:pt idx="37">
                  <c:v>18.785240513815019</c:v>
                </c:pt>
                <c:pt idx="38">
                  <c:v>18.457744898230601</c:v>
                </c:pt>
                <c:pt idx="39">
                  <c:v>18.135754519969566</c:v>
                </c:pt>
                <c:pt idx="40">
                  <c:v>17.819565690776404</c:v>
                </c:pt>
                <c:pt idx="41">
                  <c:v>17.509471893734585</c:v>
                </c:pt>
                <c:pt idx="42">
                  <c:v>17.205760630115435</c:v>
                </c:pt>
                <c:pt idx="43">
                  <c:v>16.908709986210091</c:v>
                </c:pt>
                <c:pt idx="44">
                  <c:v>16.618584962584045</c:v>
                </c:pt>
                <c:pt idx="45">
                  <c:v>16.335633621627956</c:v>
                </c:pt>
                <c:pt idx="46">
                  <c:v>16.060083122214927</c:v>
                </c:pt>
                <c:pt idx="47">
                  <c:v>15.792135721849442</c:v>
                </c:pt>
                <c:pt idx="48">
                  <c:v>15.53196483602661</c:v>
                </c:pt>
                <c:pt idx="49">
                  <c:v>15.279711250719949</c:v>
                </c:pt>
                <c:pt idx="50">
                  <c:v>15.035479586256857</c:v>
                </c:pt>
                <c:pt idx="51">
                  <c:v>14.799335108730869</c:v>
                </c:pt>
                <c:pt idx="52">
                  <c:v>14.571300978294344</c:v>
                </c:pt>
                <c:pt idx="53">
                  <c:v>14.351356012230612</c:v>
                </c:pt>
                <c:pt idx="54">
                  <c:v>14.139433025058255</c:v>
                </c:pt>
                <c:pt idx="55">
                  <c:v>13.935417788887662</c:v>
                </c:pt>
                <c:pt idx="56">
                  <c:v>13.739148635918392</c:v>
                </c:pt>
                <c:pt idx="57">
                  <c:v>13.550416702685041</c:v>
                </c:pt>
                <c:pt idx="58">
                  <c:v>13.36896679383848</c:v>
                </c:pt>
                <c:pt idx="59">
                  <c:v>13.194498823293534</c:v>
                </c:pt>
                <c:pt idx="60">
                  <c:v>13.026669773717652</c:v>
                </c:pt>
                <c:pt idx="61">
                  <c:v>12.865096102543705</c:v>
                </c:pt>
                <c:pt idx="62">
                  <c:v>12.709356514593747</c:v>
                </c:pt>
                <c:pt idx="63">
                  <c:v>12.558995018228515</c:v>
                </c:pt>
                <c:pt idx="64">
                  <c:v>12.413524183575904</c:v>
                </c:pt>
                <c:pt idx="65">
                  <c:v>12.272428527338462</c:v>
                </c:pt>
                <c:pt idx="66">
                  <c:v>12.135167958223752</c:v>
                </c:pt>
                <c:pt idx="67">
                  <c:v>12.001181229227678</c:v>
                </c:pt>
                <c:pt idx="68">
                  <c:v>11.869889356820016</c:v>
                </c:pt>
                <c:pt idx="69">
                  <c:v>11.740698981469155</c:v>
                </c:pt>
                <c:pt idx="70">
                  <c:v>11.613005657928374</c:v>
                </c:pt>
                <c:pt idx="71">
                  <c:v>11.486197076373269</c:v>
                </c:pt>
                <c:pt idx="72">
                  <c:v>11.359656226093655</c:v>
                </c:pt>
                <c:pt idx="73">
                  <c:v>11.232764521406249</c:v>
                </c:pt>
                <c:pt idx="74">
                  <c:v>11.104904914334391</c:v>
                </c:pt>
                <c:pt idx="75">
                  <c:v>10.975465020165842</c:v>
                </c:pt>
                <c:pt idx="76">
                  <c:v>10.843840280143766</c:v>
                </c:pt>
                <c:pt idx="77">
                  <c:v>10.709437180388342</c:v>
                </c:pt>
                <c:pt idx="78">
                  <c:v>10.571676537933939</c:v>
                </c:pt>
                <c:pt idx="79">
                  <c:v>10.429996853943056</c:v>
                </c:pt>
                <c:pt idx="80">
                  <c:v>10.283857721332728</c:v>
                </c:pt>
                <c:pt idx="81">
                  <c:v>10.132743259980387</c:v>
                </c:pt>
                <c:pt idx="82">
                  <c:v>9.9761655382642793</c:v>
                </c:pt>
                <c:pt idx="83">
                  <c:v>9.8136679259496784</c:v>
                </c:pt>
                <c:pt idx="84">
                  <c:v>9.6448283113849627</c:v>
                </c:pt>
                <c:pt idx="85">
                  <c:v>9.4692621066669318</c:v>
                </c:pt>
                <c:pt idx="86">
                  <c:v>9.2866249587640723</c:v>
                </c:pt>
                <c:pt idx="87">
                  <c:v>9.0966150833021882</c:v>
                </c:pt>
                <c:pt idx="88">
                  <c:v>8.8989751412360167</c:v>
                </c:pt>
                <c:pt idx="89">
                  <c:v>8.6934935870892378</c:v>
                </c:pt>
                <c:pt idx="90">
                  <c:v>8.4800054305444554</c:v>
                </c:pt>
                <c:pt idx="91">
                  <c:v>8.2583923702707178</c:v>
                </c:pt>
                <c:pt idx="92">
                  <c:v>8.0285822789841035</c:v>
                </c:pt>
                <c:pt idx="93">
                  <c:v>7.790548040595703</c:v>
                </c:pt>
                <c:pt idx="94">
                  <c:v>7.5443057625147496</c:v>
                </c:pt>
                <c:pt idx="95">
                  <c:v>7.2899124073040706</c:v>
                </c:pt>
                <c:pt idx="96">
                  <c:v>7.0274629066324126</c:v>
                </c:pt>
                <c:pt idx="97">
                  <c:v>6.7570868357375762</c:v>
                </c:pt>
                <c:pt idx="98">
                  <c:v>6.4789447376280087</c:v>
                </c:pt>
                <c:pt idx="99">
                  <c:v>6.1932241926140819</c:v>
                </c:pt>
                <c:pt idx="100">
                  <c:v>5.9001357304099518</c:v>
                </c:pt>
                <c:pt idx="101">
                  <c:v>5.5999086793032546</c:v>
                </c:pt>
                <c:pt idx="102">
                  <c:v>5.2927870403136881</c:v>
                </c:pt>
                <c:pt idx="103">
                  <c:v>4.9790254646246517</c:v>
                </c:pt>
                <c:pt idx="104">
                  <c:v>4.6588854007572413</c:v>
                </c:pt>
                <c:pt idx="105">
                  <c:v>4.3326314648467168</c:v>
                </c:pt>
                <c:pt idx="106">
                  <c:v>4.0005280738276348</c:v>
                </c:pt>
                <c:pt idx="107">
                  <c:v>3.6628363680669249</c:v>
                </c:pt>
                <c:pt idx="108">
                  <c:v>3.3198114375886707</c:v>
                </c:pt>
                <c:pt idx="109">
                  <c:v>2.9716998549547657</c:v>
                </c:pt>
                <c:pt idx="110">
                  <c:v>2.6187375083584286</c:v>
                </c:pt>
                <c:pt idx="111">
                  <c:v>2.2611477207099551</c:v>
                </c:pt>
                <c:pt idx="112">
                  <c:v>1.8991396344305598</c:v>
                </c:pt>
                <c:pt idx="113">
                  <c:v>1.5329068372711863</c:v>
                </c:pt>
                <c:pt idx="114">
                  <c:v>1.1626262015604678</c:v>
                </c:pt>
                <c:pt idx="115">
                  <c:v>0.78845690769970567</c:v>
                </c:pt>
                <c:pt idx="116">
                  <c:v>0.41053962223514562</c:v>
                </c:pt>
                <c:pt idx="117">
                  <c:v>2.8995801257941378E-2</c:v>
                </c:pt>
                <c:pt idx="118">
                  <c:v>-0.35607290900862459</c:v>
                </c:pt>
                <c:pt idx="119">
                  <c:v>-0.74458520092350422</c:v>
                </c:pt>
                <c:pt idx="120">
                  <c:v>-1.1364805879252078</c:v>
                </c:pt>
                <c:pt idx="121">
                  <c:v>-1.5317198630200226</c:v>
                </c:pt>
                <c:pt idx="122">
                  <c:v>-1.9302855530534995</c:v>
                </c:pt>
                <c:pt idx="123">
                  <c:v>-2.3321823860454569</c:v>
                </c:pt>
                <c:pt idx="124">
                  <c:v>-2.7374377863302679</c:v>
                </c:pt>
                <c:pt idx="125">
                  <c:v>-3.1461024096714345</c:v>
                </c:pt>
                <c:pt idx="126">
                  <c:v>-3.5582507279585736</c:v>
                </c:pt>
                <c:pt idx="127">
                  <c:v>-3.9739816704962623</c:v>
                </c:pt>
                <c:pt idx="128">
                  <c:v>-4.3934193262724488</c:v>
                </c:pt>
                <c:pt idx="129">
                  <c:v>-4.8167137088977743</c:v>
                </c:pt>
                <c:pt idx="130">
                  <c:v>-5.2440415831147105</c:v>
                </c:pt>
                <c:pt idx="131">
                  <c:v>-5.675607348848831</c:v>
                </c:pt>
                <c:pt idx="132">
                  <c:v>-6.1116439756726386</c:v>
                </c:pt>
                <c:pt idx="133">
                  <c:v>-6.5524139772517085</c:v>
                </c:pt>
                <c:pt idx="134">
                  <c:v>-6.9982104118159514</c:v>
                </c:pt>
                <c:pt idx="135">
                  <c:v>-7.4493578909266267</c:v>
                </c:pt>
                <c:pt idx="136">
                  <c:v>-7.9062135748083193</c:v>
                </c:pt>
                <c:pt idx="137">
                  <c:v>-8.3691681282880239</c:v>
                </c:pt>
                <c:pt idx="138">
                  <c:v>-8.8386466069948675</c:v>
                </c:pt>
                <c:pt idx="139">
                  <c:v>-9.3151092389857233</c:v>
                </c:pt>
                <c:pt idx="140">
                  <c:v>-9.799052062489185</c:v>
                </c:pt>
                <c:pt idx="141">
                  <c:v>-10.291007376147865</c:v>
                </c:pt>
                <c:pt idx="142">
                  <c:v>-10.791543954171981</c:v>
                </c:pt>
                <c:pt idx="143">
                  <c:v>-11.301266975415917</c:v>
                </c:pt>
                <c:pt idx="144">
                  <c:v>-11.820817612819482</c:v>
                </c:pt>
                <c:pt idx="145">
                  <c:v>-12.350872228207908</c:v>
                </c:pt>
                <c:pt idx="146">
                  <c:v>-12.892141117415834</c:v>
                </c:pt>
                <c:pt idx="147">
                  <c:v>-13.445366752423036</c:v>
                </c:pt>
                <c:pt idx="148">
                  <c:v>-14.011321470938558</c:v>
                </c:pt>
                <c:pt idx="149">
                  <c:v>-14.590804569907547</c:v>
                </c:pt>
                <c:pt idx="150">
                  <c:v>-15.184638767923779</c:v>
                </c:pt>
                <c:pt idx="151">
                  <c:v>-15.793666012588869</c:v>
                </c:pt>
                <c:pt idx="152">
                  <c:v>-16.418742622433161</c:v>
                </c:pt>
                <c:pt idx="153">
                  <c:v>-17.060733768913977</c:v>
                </c:pt>
                <c:pt idx="154">
                  <c:v>-17.720507321894502</c:v>
                </c:pt>
                <c:pt idx="155">
                  <c:v>-18.398927101385315</c:v>
                </c:pt>
                <c:pt idx="156">
                  <c:v>-19.096845598558701</c:v>
                </c:pt>
                <c:pt idx="157">
                  <c:v>-19.815096249367937</c:v>
                </c:pt>
                <c:pt idx="158">
                  <c:v>-20.554485363707194</c:v>
                </c:pt>
                <c:pt idx="159">
                  <c:v>-21.315783831049519</c:v>
                </c:pt>
                <c:pt idx="160">
                  <c:v>-22.099718739117037</c:v>
                </c:pt>
                <c:pt idx="161">
                  <c:v>-22.906965054566513</c:v>
                </c:pt>
                <c:pt idx="162">
                  <c:v>-23.738137523321576</c:v>
                </c:pt>
                <c:pt idx="163">
                  <c:v>-24.593782952499723</c:v>
                </c:pt>
                <c:pt idx="164">
                  <c:v>-25.47437303555499</c:v>
                </c:pt>
                <c:pt idx="165">
                  <c:v>-26.380297877060855</c:v>
                </c:pt>
                <c:pt idx="166">
                  <c:v>-27.31186036345656</c:v>
                </c:pt>
                <c:pt idx="167">
                  <c:v>-28.269271511162401</c:v>
                </c:pt>
                <c:pt idx="168">
                  <c:v>-29.252646903995796</c:v>
                </c:pt>
                <c:pt idx="169">
                  <c:v>-30.262004308163522</c:v>
                </c:pt>
                <c:pt idx="170">
                  <c:v>-31.297262525866461</c:v>
                </c:pt>
                <c:pt idx="171">
                  <c:v>-32.358241518440074</c:v>
                </c:pt>
                <c:pt idx="172">
                  <c:v>-33.444663797955954</c:v>
                </c:pt>
                <c:pt idx="173">
                  <c:v>-34.55615705338181</c:v>
                </c:pt>
                <c:pt idx="174">
                  <c:v>-35.692257945069684</c:v>
                </c:pt>
                <c:pt idx="175">
                  <c:v>-36.852416970804185</c:v>
                </c:pt>
                <c:pt idx="176">
                  <c:v>-38.03600427930715</c:v>
                </c:pt>
                <c:pt idx="177">
                  <c:v>-39.242316284187851</c:v>
                </c:pt>
                <c:pt idx="178">
                  <c:v>-40.470582913948405</c:v>
                </c:pt>
                <c:pt idx="179">
                  <c:v>-41.719975322576119</c:v>
                </c:pt>
                <c:pt idx="180">
                  <c:v>-42.98961388090629</c:v>
                </c:pt>
                <c:pt idx="181">
                  <c:v>-44.278576271361828</c:v>
                </c:pt>
                <c:pt idx="182">
                  <c:v>-45.585905517508955</c:v>
                </c:pt>
                <c:pt idx="183">
                  <c:v>-46.910617794392337</c:v>
                </c:pt>
                <c:pt idx="184">
                  <c:v>-48.251709884843166</c:v>
                </c:pt>
                <c:pt idx="185">
                  <c:v>-49.608166169698926</c:v>
                </c:pt>
                <c:pt idx="186">
                  <c:v>-50.97896506484976</c:v>
                </c:pt>
                <c:pt idx="187">
                  <c:v>-52.363084843982044</c:v>
                </c:pt>
                <c:pt idx="188">
                  <c:v>-53.759508811629395</c:v>
                </c:pt>
                <c:pt idx="189">
                  <c:v>-55.167229815671462</c:v>
                </c:pt>
                <c:pt idx="190">
                  <c:v>-56.585254110914143</c:v>
                </c:pt>
                <c:pt idx="191">
                  <c:v>-58.012604605239105</c:v>
                </c:pt>
                <c:pt idx="192">
                  <c:v>-59.448323536651166</c:v>
                </c:pt>
                <c:pt idx="193">
                  <c:v>-60.89147464315748</c:v>
                </c:pt>
                <c:pt idx="194">
                  <c:v>-62.341144897739973</c:v>
                </c:pt>
                <c:pt idx="195">
                  <c:v>-63.796445887789808</c:v>
                </c:pt>
                <c:pt idx="196">
                  <c:v>-65.256514922391432</c:v>
                </c:pt>
                <c:pt idx="197">
                  <c:v>-66.720515951928633</c:v>
                </c:pt>
                <c:pt idx="198">
                  <c:v>-68.187640382832186</c:v>
                </c:pt>
                <c:pt idx="199">
                  <c:v>-69.657107866023253</c:v>
                </c:pt>
                <c:pt idx="200">
                  <c:v>-71.128167130906647</c:v>
                </c:pt>
              </c:numCache>
            </c:numRef>
          </c:yVal>
          <c:smooth val="1"/>
        </c:ser>
        <c:ser>
          <c:idx val="0"/>
          <c:order val="1"/>
          <c:tx>
            <c:v>Measured</c:v>
          </c:tx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50016"/>
        <c:axId val="95772672"/>
      </c:scatterChart>
      <c:valAx>
        <c:axId val="95750016"/>
        <c:scaling>
          <c:logBase val="10"/>
          <c:orientation val="minMax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72672"/>
        <c:crosses val="autoZero"/>
        <c:crossBetween val="midCat"/>
      </c:valAx>
      <c:valAx>
        <c:axId val="9577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750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258789197402955"/>
          <c:y val="8.0779938052767106E-2"/>
          <c:w val="0.30719453653819595"/>
          <c:h val="0.15514572526775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wmf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image" Target="../media/image3.e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image" Target="../media/image5.png"/><Relationship Id="rId4" Type="http://schemas.openxmlformats.org/officeDocument/2006/relationships/chart" Target="../charts/chart5.xml"/><Relationship Id="rId9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28575</xdr:rowOff>
    </xdr:from>
    <xdr:to>
      <xdr:col>7</xdr:col>
      <xdr:colOff>581025</xdr:colOff>
      <xdr:row>73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17</xdr:row>
          <xdr:rowOff>28575</xdr:rowOff>
        </xdr:from>
        <xdr:to>
          <xdr:col>18</xdr:col>
          <xdr:colOff>38100</xdr:colOff>
          <xdr:row>37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38100</xdr:rowOff>
    </xdr:from>
    <xdr:to>
      <xdr:col>6</xdr:col>
      <xdr:colOff>1685925</xdr:colOff>
      <xdr:row>39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632385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28575</xdr:rowOff>
    </xdr:from>
    <xdr:to>
      <xdr:col>3</xdr:col>
      <xdr:colOff>38100</xdr:colOff>
      <xdr:row>22</xdr:row>
      <xdr:rowOff>152400</xdr:rowOff>
    </xdr:to>
    <xdr:pic>
      <xdr:nvPicPr>
        <xdr:cNvPr id="5" name="Picture 2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676650"/>
          <a:ext cx="1914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90</xdr:row>
      <xdr:rowOff>85725</xdr:rowOff>
    </xdr:from>
    <xdr:to>
      <xdr:col>6</xdr:col>
      <xdr:colOff>581025</xdr:colOff>
      <xdr:row>111</xdr:row>
      <xdr:rowOff>38100</xdr:rowOff>
    </xdr:to>
    <xdr:graphicFrame macro="">
      <xdr:nvGraphicFramePr>
        <xdr:cNvPr id="6" name="Chart 2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112</xdr:row>
      <xdr:rowOff>19050</xdr:rowOff>
    </xdr:from>
    <xdr:to>
      <xdr:col>6</xdr:col>
      <xdr:colOff>571500</xdr:colOff>
      <xdr:row>133</xdr:row>
      <xdr:rowOff>9525</xdr:rowOff>
    </xdr:to>
    <xdr:graphicFrame macro="">
      <xdr:nvGraphicFramePr>
        <xdr:cNvPr id="7" name="Chart 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</xdr:colOff>
      <xdr:row>90</xdr:row>
      <xdr:rowOff>85725</xdr:rowOff>
    </xdr:from>
    <xdr:to>
      <xdr:col>13</xdr:col>
      <xdr:colOff>800100</xdr:colOff>
      <xdr:row>111</xdr:row>
      <xdr:rowOff>47625</xdr:rowOff>
    </xdr:to>
    <xdr:graphicFrame macro="">
      <xdr:nvGraphicFramePr>
        <xdr:cNvPr id="8" name="Chart 2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112</xdr:row>
      <xdr:rowOff>19050</xdr:rowOff>
    </xdr:from>
    <xdr:to>
      <xdr:col>14</xdr:col>
      <xdr:colOff>0</xdr:colOff>
      <xdr:row>133</xdr:row>
      <xdr:rowOff>19050</xdr:rowOff>
    </xdr:to>
    <xdr:graphicFrame macro="">
      <xdr:nvGraphicFramePr>
        <xdr:cNvPr id="9" name="Chart 2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666750</xdr:colOff>
      <xdr:row>66</xdr:row>
      <xdr:rowOff>180975</xdr:rowOff>
    </xdr:from>
    <xdr:to>
      <xdr:col>14</xdr:col>
      <xdr:colOff>104776</xdr:colOff>
      <xdr:row>88</xdr:row>
      <xdr:rowOff>0</xdr:rowOff>
    </xdr:to>
    <xdr:graphicFrame macro="">
      <xdr:nvGraphicFramePr>
        <xdr:cNvPr id="10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67</xdr:row>
      <xdr:rowOff>0</xdr:rowOff>
    </xdr:from>
    <xdr:to>
      <xdr:col>6</xdr:col>
      <xdr:colOff>561975</xdr:colOff>
      <xdr:row>88</xdr:row>
      <xdr:rowOff>19050</xdr:rowOff>
    </xdr:to>
    <xdr:graphicFrame macro="">
      <xdr:nvGraphicFramePr>
        <xdr:cNvPr id="11" name="Chart 2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133350</xdr:colOff>
      <xdr:row>37</xdr:row>
      <xdr:rowOff>19050</xdr:rowOff>
    </xdr:from>
    <xdr:to>
      <xdr:col>14</xdr:col>
      <xdr:colOff>457200</xdr:colOff>
      <xdr:row>56</xdr:row>
      <xdr:rowOff>0</xdr:rowOff>
    </xdr:to>
    <xdr:grpSp>
      <xdr:nvGrpSpPr>
        <xdr:cNvPr id="12" name="Group 237"/>
        <xdr:cNvGrpSpPr>
          <a:grpSpLocks/>
        </xdr:cNvGrpSpPr>
      </xdr:nvGrpSpPr>
      <xdr:grpSpPr bwMode="auto">
        <a:xfrm>
          <a:off x="6924675" y="7458075"/>
          <a:ext cx="5200650" cy="3600450"/>
          <a:chOff x="1576" y="1716"/>
          <a:chExt cx="2272" cy="1440"/>
        </a:xfrm>
      </xdr:grpSpPr>
      <xdr:grpSp>
        <xdr:nvGrpSpPr>
          <xdr:cNvPr id="13" name="Group 238"/>
          <xdr:cNvGrpSpPr>
            <a:grpSpLocks/>
          </xdr:cNvGrpSpPr>
        </xdr:nvGrpSpPr>
        <xdr:grpSpPr bwMode="auto">
          <a:xfrm>
            <a:off x="1596" y="1724"/>
            <a:ext cx="2220" cy="1392"/>
            <a:chOff x="1596" y="1724"/>
            <a:chExt cx="2220" cy="1392"/>
          </a:xfrm>
        </xdr:grpSpPr>
        <xdr:grpSp>
          <xdr:nvGrpSpPr>
            <xdr:cNvPr id="15" name="Group 239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8" name="Freeform 240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" name="Freeform 241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16" name="Line 242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243"/>
            <xdr:cNvSpPr>
              <a:spLocks noChangeShapeType="1"/>
            </xdr:cNvSpPr>
          </xdr:nvSpPr>
          <xdr:spPr bwMode="auto">
            <a:xfrm flipH="1">
              <a:off x="1891" y="2623"/>
              <a:ext cx="75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244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Rectangle 245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0" name="Rectangle 246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1" name="Group 247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6" name="Freeform 248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" name="Freeform 249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2" name="Line 250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251"/>
            <xdr:cNvSpPr>
              <a:spLocks noChangeShapeType="1"/>
            </xdr:cNvSpPr>
          </xdr:nvSpPr>
          <xdr:spPr bwMode="auto">
            <a:xfrm>
              <a:off x="2929" y="2539"/>
              <a:ext cx="12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Rectangle 252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25" name="Rectangle 253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26" name="Group 254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4" name="Freeform 25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" name="Freeform 256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27" name="Line 257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8" name="Line 258"/>
            <xdr:cNvSpPr>
              <a:spLocks noChangeShapeType="1"/>
            </xdr:cNvSpPr>
          </xdr:nvSpPr>
          <xdr:spPr bwMode="auto">
            <a:xfrm>
              <a:off x="2929" y="2539"/>
              <a:ext cx="51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Rectangle 259"/>
            <xdr:cNvSpPr>
              <a:spLocks noChangeArrowheads="1"/>
            </xdr:cNvSpPr>
          </xdr:nvSpPr>
          <xdr:spPr bwMode="auto">
            <a:xfrm>
              <a:off x="2976" y="2554"/>
              <a:ext cx="90" cy="8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FB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0" name="Rectangle 260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1" name="Rectangle 261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2" name="Rectangle 262"/>
            <xdr:cNvSpPr>
              <a:spLocks noChangeArrowheads="1"/>
            </xdr:cNvSpPr>
          </xdr:nvSpPr>
          <xdr:spPr bwMode="auto">
            <a:xfrm>
              <a:off x="2951" y="2726"/>
              <a:ext cx="188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VREF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33" name="Group 263"/>
            <xdr:cNvGrpSpPr>
              <a:grpSpLocks/>
            </xdr:cNvGrpSpPr>
          </xdr:nvGrpSpPr>
          <xdr:grpSpPr bwMode="auto">
            <a:xfrm>
              <a:off x="2640" y="2460"/>
              <a:ext cx="289" cy="329"/>
              <a:chOff x="3083" y="3207"/>
              <a:chExt cx="289" cy="329"/>
            </a:xfrm>
          </xdr:grpSpPr>
          <xdr:sp macro="" textlink="">
            <xdr:nvSpPr>
              <xdr:cNvPr id="112" name="Freeform 26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" name="Freeform 26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34" name="Line 266"/>
            <xdr:cNvSpPr>
              <a:spLocks noChangeShapeType="1"/>
            </xdr:cNvSpPr>
          </xdr:nvSpPr>
          <xdr:spPr bwMode="auto">
            <a:xfrm>
              <a:off x="2931" y="2709"/>
              <a:ext cx="21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Rectangle 267"/>
            <xdr:cNvSpPr>
              <a:spLocks noChangeArrowheads="1"/>
            </xdr:cNvSpPr>
          </xdr:nvSpPr>
          <xdr:spPr bwMode="auto">
            <a:xfrm>
              <a:off x="1949" y="2638"/>
              <a:ext cx="26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VCOMP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6" name="Rectangle 268"/>
            <xdr:cNvSpPr>
              <a:spLocks noChangeArrowheads="1"/>
            </xdr:cNvSpPr>
          </xdr:nvSpPr>
          <xdr:spPr bwMode="auto">
            <a:xfrm>
              <a:off x="2874" y="2676"/>
              <a:ext cx="41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7" name="Rectangle 269"/>
            <xdr:cNvSpPr>
              <a:spLocks noChangeArrowheads="1"/>
            </xdr:cNvSpPr>
          </xdr:nvSpPr>
          <xdr:spPr bwMode="auto">
            <a:xfrm>
              <a:off x="2894" y="2497"/>
              <a:ext cx="20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38" name="Freeform 270"/>
            <xdr:cNvSpPr>
              <a:spLocks/>
            </xdr:cNvSpPr>
          </xdr:nvSpPr>
          <xdr:spPr bwMode="auto">
            <a:xfrm>
              <a:off x="3424" y="274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9" name="Freeform 271"/>
            <xdr:cNvSpPr>
              <a:spLocks/>
            </xdr:cNvSpPr>
          </xdr:nvSpPr>
          <xdr:spPr bwMode="auto">
            <a:xfrm>
              <a:off x="3408" y="2168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40" name="Group 272"/>
            <xdr:cNvGrpSpPr>
              <a:grpSpLocks/>
            </xdr:cNvGrpSpPr>
          </xdr:nvGrpSpPr>
          <xdr:grpSpPr bwMode="auto">
            <a:xfrm rot="10800000">
              <a:off x="2496" y="2828"/>
              <a:ext cx="104" cy="212"/>
              <a:chOff x="2272" y="2612"/>
              <a:chExt cx="104" cy="212"/>
            </a:xfrm>
          </xdr:grpSpPr>
          <xdr:sp macro="" textlink="">
            <xdr:nvSpPr>
              <xdr:cNvPr id="108" name="Line 273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" name="Line 274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" name="Line 275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1" name="Line 276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41" name="Group 277"/>
            <xdr:cNvGrpSpPr>
              <a:grpSpLocks/>
            </xdr:cNvGrpSpPr>
          </xdr:nvGrpSpPr>
          <xdr:grpSpPr bwMode="auto">
            <a:xfrm>
              <a:off x="3564" y="2120"/>
              <a:ext cx="104" cy="212"/>
              <a:chOff x="2272" y="2612"/>
              <a:chExt cx="104" cy="212"/>
            </a:xfrm>
          </xdr:grpSpPr>
          <xdr:sp macro="" textlink="">
            <xdr:nvSpPr>
              <xdr:cNvPr id="104" name="Line 278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" name="Line 279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" name="Line 280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" name="Line 281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2" name="Freeform 282"/>
            <xdr:cNvSpPr>
              <a:spLocks/>
            </xdr:cNvSpPr>
          </xdr:nvSpPr>
          <xdr:spPr bwMode="auto">
            <a:xfrm rot="10800000">
              <a:off x="2516" y="2712"/>
              <a:ext cx="62" cy="109"/>
            </a:xfrm>
            <a:custGeom>
              <a:avLst/>
              <a:gdLst>
                <a:gd name="T0" fmla="*/ 1 w 122"/>
                <a:gd name="T1" fmla="*/ 0 h 256"/>
                <a:gd name="T2" fmla="*/ 1 w 122"/>
                <a:gd name="T3" fmla="*/ 0 h 256"/>
                <a:gd name="T4" fmla="*/ 0 w 122"/>
                <a:gd name="T5" fmla="*/ 0 h 256"/>
                <a:gd name="T6" fmla="*/ 1 w 122"/>
                <a:gd name="T7" fmla="*/ 0 h 256"/>
                <a:gd name="T8" fmla="*/ 0 w 122"/>
                <a:gd name="T9" fmla="*/ 0 h 256"/>
                <a:gd name="T10" fmla="*/ 1 w 122"/>
                <a:gd name="T11" fmla="*/ 0 h 256"/>
                <a:gd name="T12" fmla="*/ 0 w 122"/>
                <a:gd name="T13" fmla="*/ 0 h 256"/>
                <a:gd name="T14" fmla="*/ 1 w 122"/>
                <a:gd name="T15" fmla="*/ 0 h 25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2"/>
                <a:gd name="T25" fmla="*/ 0 h 256"/>
                <a:gd name="T26" fmla="*/ 122 w 122"/>
                <a:gd name="T27" fmla="*/ 256 h 256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2" h="256">
                  <a:moveTo>
                    <a:pt x="60" y="0"/>
                  </a:moveTo>
                  <a:lnTo>
                    <a:pt x="122" y="22"/>
                  </a:lnTo>
                  <a:lnTo>
                    <a:pt x="0" y="63"/>
                  </a:lnTo>
                  <a:lnTo>
                    <a:pt x="122" y="106"/>
                  </a:lnTo>
                  <a:lnTo>
                    <a:pt x="0" y="150"/>
                  </a:lnTo>
                  <a:lnTo>
                    <a:pt x="122" y="191"/>
                  </a:lnTo>
                  <a:lnTo>
                    <a:pt x="0" y="235"/>
                  </a:lnTo>
                  <a:lnTo>
                    <a:pt x="60" y="256"/>
                  </a:lnTo>
                </a:path>
              </a:pathLst>
            </a:custGeom>
            <a:noFill/>
            <a:ln w="9525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" name="Line 283"/>
            <xdr:cNvSpPr>
              <a:spLocks noChangeShapeType="1"/>
            </xdr:cNvSpPr>
          </xdr:nvSpPr>
          <xdr:spPr bwMode="auto">
            <a:xfrm>
              <a:off x="2548" y="2620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" name="Oval 284"/>
            <xdr:cNvSpPr>
              <a:spLocks noChangeArrowheads="1"/>
            </xdr:cNvSpPr>
          </xdr:nvSpPr>
          <xdr:spPr bwMode="auto">
            <a:xfrm>
              <a:off x="2528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" name="Line 285"/>
            <xdr:cNvSpPr>
              <a:spLocks noChangeShapeType="1"/>
            </xdr:cNvSpPr>
          </xdr:nvSpPr>
          <xdr:spPr bwMode="auto">
            <a:xfrm>
              <a:off x="3444" y="2276"/>
              <a:ext cx="4" cy="4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Line 286"/>
            <xdr:cNvSpPr>
              <a:spLocks noChangeShapeType="1"/>
            </xdr:cNvSpPr>
          </xdr:nvSpPr>
          <xdr:spPr bwMode="auto">
            <a:xfrm>
              <a:off x="3452" y="2864"/>
              <a:ext cx="0" cy="13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Line 287"/>
            <xdr:cNvSpPr>
              <a:spLocks noChangeShapeType="1"/>
            </xdr:cNvSpPr>
          </xdr:nvSpPr>
          <xdr:spPr bwMode="auto">
            <a:xfrm>
              <a:off x="3400" y="3004"/>
              <a:ext cx="10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8" name="Line 288"/>
            <xdr:cNvSpPr>
              <a:spLocks noChangeShapeType="1"/>
            </xdr:cNvSpPr>
          </xdr:nvSpPr>
          <xdr:spPr bwMode="auto">
            <a:xfrm>
              <a:off x="3424" y="3024"/>
              <a:ext cx="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289"/>
            <xdr:cNvSpPr>
              <a:spLocks noChangeShapeType="1"/>
            </xdr:cNvSpPr>
          </xdr:nvSpPr>
          <xdr:spPr bwMode="auto">
            <a:xfrm>
              <a:off x="3440" y="3044"/>
              <a:ext cx="2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" name="Line 290"/>
            <xdr:cNvSpPr>
              <a:spLocks noChangeShapeType="1"/>
            </xdr:cNvSpPr>
          </xdr:nvSpPr>
          <xdr:spPr bwMode="auto">
            <a:xfrm>
              <a:off x="3448" y="2540"/>
              <a:ext cx="16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291"/>
            <xdr:cNvSpPr>
              <a:spLocks noChangeShapeType="1"/>
            </xdr:cNvSpPr>
          </xdr:nvSpPr>
          <xdr:spPr bwMode="auto">
            <a:xfrm flipV="1">
              <a:off x="3616" y="2320"/>
              <a:ext cx="0" cy="2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2" name="Line 292"/>
            <xdr:cNvSpPr>
              <a:spLocks noChangeShapeType="1"/>
            </xdr:cNvSpPr>
          </xdr:nvSpPr>
          <xdr:spPr bwMode="auto">
            <a:xfrm flipV="1">
              <a:off x="3440" y="1904"/>
              <a:ext cx="0" cy="26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" name="Line 293"/>
            <xdr:cNvSpPr>
              <a:spLocks noChangeShapeType="1"/>
            </xdr:cNvSpPr>
          </xdr:nvSpPr>
          <xdr:spPr bwMode="auto">
            <a:xfrm flipV="1">
              <a:off x="3616" y="1828"/>
              <a:ext cx="0" cy="30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4" name="Line 294"/>
            <xdr:cNvSpPr>
              <a:spLocks noChangeShapeType="1"/>
            </xdr:cNvSpPr>
          </xdr:nvSpPr>
          <xdr:spPr bwMode="auto">
            <a:xfrm>
              <a:off x="3208" y="1904"/>
              <a:ext cx="41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5" name="Rectangle 295"/>
            <xdr:cNvSpPr>
              <a:spLocks noChangeArrowheads="1"/>
            </xdr:cNvSpPr>
          </xdr:nvSpPr>
          <xdr:spPr bwMode="auto">
            <a:xfrm>
              <a:off x="2599" y="2752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R3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6" name="Rectangle 296"/>
            <xdr:cNvSpPr>
              <a:spLocks noChangeArrowheads="1"/>
            </xdr:cNvSpPr>
          </xdr:nvSpPr>
          <xdr:spPr bwMode="auto">
            <a:xfrm>
              <a:off x="2612" y="2893"/>
              <a:ext cx="70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C5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7" name="Rectangle 297"/>
            <xdr:cNvSpPr>
              <a:spLocks noChangeArrowheads="1"/>
            </xdr:cNvSpPr>
          </xdr:nvSpPr>
          <xdr:spPr bwMode="auto">
            <a:xfrm>
              <a:off x="3344" y="2752"/>
              <a:ext cx="102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R2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8" name="Rectangle 298"/>
            <xdr:cNvSpPr>
              <a:spLocks noChangeArrowheads="1"/>
            </xdr:cNvSpPr>
          </xdr:nvSpPr>
          <xdr:spPr bwMode="auto">
            <a:xfrm>
              <a:off x="3324" y="2188"/>
              <a:ext cx="98" cy="8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R1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9" name="Rectangle 299"/>
            <xdr:cNvSpPr>
              <a:spLocks noChangeArrowheads="1"/>
            </xdr:cNvSpPr>
          </xdr:nvSpPr>
          <xdr:spPr bwMode="auto">
            <a:xfrm>
              <a:off x="3697" y="2196"/>
              <a:ext cx="119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C3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0" name="Oval 300"/>
            <xdr:cNvSpPr>
              <a:spLocks noChangeArrowheads="1"/>
            </xdr:cNvSpPr>
          </xdr:nvSpPr>
          <xdr:spPr bwMode="auto">
            <a:xfrm>
              <a:off x="3428" y="2520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" name="Oval 301"/>
            <xdr:cNvSpPr>
              <a:spLocks noChangeArrowheads="1"/>
            </xdr:cNvSpPr>
          </xdr:nvSpPr>
          <xdr:spPr bwMode="auto">
            <a:xfrm>
              <a:off x="3596" y="18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2" name="Rectangle 302"/>
            <xdr:cNvSpPr>
              <a:spLocks noChangeArrowheads="1"/>
            </xdr:cNvSpPr>
          </xdr:nvSpPr>
          <xdr:spPr bwMode="auto">
            <a:xfrm>
              <a:off x="3529" y="1724"/>
              <a:ext cx="156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OUT</a:t>
              </a: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grpSp>
          <xdr:nvGrpSpPr>
            <xdr:cNvPr id="63" name="Group 303"/>
            <xdr:cNvGrpSpPr>
              <a:grpSpLocks/>
            </xdr:cNvGrpSpPr>
          </xdr:nvGrpSpPr>
          <xdr:grpSpPr bwMode="auto">
            <a:xfrm>
              <a:off x="1596" y="2368"/>
              <a:ext cx="293" cy="329"/>
              <a:chOff x="3083" y="3207"/>
              <a:chExt cx="289" cy="329"/>
            </a:xfrm>
          </xdr:grpSpPr>
          <xdr:sp macro="" textlink="">
            <xdr:nvSpPr>
              <xdr:cNvPr id="102" name="Freeform 304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solidFill>
                <a:srgbClr val="FFFFFF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305"/>
              <xdr:cNvSpPr>
                <a:spLocks/>
              </xdr:cNvSpPr>
            </xdr:nvSpPr>
            <xdr:spPr bwMode="auto">
              <a:xfrm>
                <a:off x="3083" y="3207"/>
                <a:ext cx="289" cy="329"/>
              </a:xfrm>
              <a:custGeom>
                <a:avLst/>
                <a:gdLst>
                  <a:gd name="T0" fmla="*/ 0 w 289"/>
                  <a:gd name="T1" fmla="*/ 164 h 329"/>
                  <a:gd name="T2" fmla="*/ 289 w 289"/>
                  <a:gd name="T3" fmla="*/ 0 h 329"/>
                  <a:gd name="T4" fmla="*/ 289 w 289"/>
                  <a:gd name="T5" fmla="*/ 329 h 329"/>
                  <a:gd name="T6" fmla="*/ 0 w 289"/>
                  <a:gd name="T7" fmla="*/ 164 h 329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0 w 289"/>
                  <a:gd name="T13" fmla="*/ 0 h 329"/>
                  <a:gd name="T14" fmla="*/ 289 w 289"/>
                  <a:gd name="T15" fmla="*/ 329 h 329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89" h="329">
                    <a:moveTo>
                      <a:pt x="0" y="164"/>
                    </a:moveTo>
                    <a:lnTo>
                      <a:pt x="289" y="0"/>
                    </a:lnTo>
                    <a:lnTo>
                      <a:pt x="289" y="329"/>
                    </a:lnTo>
                    <a:lnTo>
                      <a:pt x="0" y="164"/>
                    </a:lnTo>
                    <a:close/>
                  </a:path>
                </a:pathLst>
              </a:custGeom>
              <a:noFill/>
              <a:ln w="12700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64" name="Group 306"/>
            <xdr:cNvGrpSpPr>
              <a:grpSpLocks/>
            </xdr:cNvGrpSpPr>
          </xdr:nvGrpSpPr>
          <xdr:grpSpPr bwMode="auto">
            <a:xfrm>
              <a:off x="2492" y="3076"/>
              <a:ext cx="108" cy="40"/>
              <a:chOff x="3396" y="3040"/>
              <a:chExt cx="108" cy="40"/>
            </a:xfrm>
          </xdr:grpSpPr>
          <xdr:sp macro="" textlink="">
            <xdr:nvSpPr>
              <xdr:cNvPr id="99" name="Line 307"/>
              <xdr:cNvSpPr>
                <a:spLocks noChangeShapeType="1"/>
              </xdr:cNvSpPr>
            </xdr:nvSpPr>
            <xdr:spPr bwMode="auto">
              <a:xfrm>
                <a:off x="3396" y="3040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0" name="Line 308"/>
              <xdr:cNvSpPr>
                <a:spLocks noChangeShapeType="1"/>
              </xdr:cNvSpPr>
            </xdr:nvSpPr>
            <xdr:spPr bwMode="auto">
              <a:xfrm>
                <a:off x="3420" y="3060"/>
                <a:ext cx="5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" name="Line 309"/>
              <xdr:cNvSpPr>
                <a:spLocks noChangeShapeType="1"/>
              </xdr:cNvSpPr>
            </xdr:nvSpPr>
            <xdr:spPr bwMode="auto">
              <a:xfrm>
                <a:off x="3436" y="3080"/>
                <a:ext cx="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65" name="Oval 310"/>
            <xdr:cNvSpPr>
              <a:spLocks noChangeArrowheads="1"/>
            </xdr:cNvSpPr>
          </xdr:nvSpPr>
          <xdr:spPr bwMode="auto">
            <a:xfrm>
              <a:off x="2096" y="2196"/>
              <a:ext cx="225" cy="210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lnSpc>
                  <a:spcPts val="1900"/>
                </a:lnSpc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  <a:p>
              <a:pPr algn="l" rtl="0">
                <a:lnSpc>
                  <a:spcPts val="1900"/>
                </a:lnSpc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66" name="Rectangle 311"/>
            <xdr:cNvSpPr>
              <a:spLocks noChangeArrowheads="1"/>
            </xdr:cNvSpPr>
          </xdr:nvSpPr>
          <xdr:spPr bwMode="auto">
            <a:xfrm>
              <a:off x="1838" y="2577"/>
              <a:ext cx="33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67" name="Oval 312"/>
            <xdr:cNvSpPr>
              <a:spLocks noChangeArrowheads="1"/>
            </xdr:cNvSpPr>
          </xdr:nvSpPr>
          <xdr:spPr bwMode="auto">
            <a:xfrm>
              <a:off x="3420" y="188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8" name="Line 313"/>
            <xdr:cNvSpPr>
              <a:spLocks noChangeShapeType="1"/>
            </xdr:cNvSpPr>
          </xdr:nvSpPr>
          <xdr:spPr bwMode="auto">
            <a:xfrm flipH="1">
              <a:off x="2323" y="2315"/>
              <a:ext cx="326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69" name="Group 314"/>
            <xdr:cNvGrpSpPr>
              <a:grpSpLocks/>
            </xdr:cNvGrpSpPr>
          </xdr:nvGrpSpPr>
          <xdr:grpSpPr bwMode="auto">
            <a:xfrm rot="10800000">
              <a:off x="2368" y="2732"/>
              <a:ext cx="104" cy="212"/>
              <a:chOff x="2272" y="2612"/>
              <a:chExt cx="104" cy="212"/>
            </a:xfrm>
          </xdr:grpSpPr>
          <xdr:sp macro="" textlink="">
            <xdr:nvSpPr>
              <xdr:cNvPr id="95" name="Line 315"/>
              <xdr:cNvSpPr>
                <a:spLocks noChangeShapeType="1"/>
              </xdr:cNvSpPr>
            </xdr:nvSpPr>
            <xdr:spPr bwMode="auto">
              <a:xfrm>
                <a:off x="2324" y="2612"/>
                <a:ext cx="0" cy="8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" name="Line 316"/>
              <xdr:cNvSpPr>
                <a:spLocks noChangeShapeType="1"/>
              </xdr:cNvSpPr>
            </xdr:nvSpPr>
            <xdr:spPr bwMode="auto">
              <a:xfrm>
                <a:off x="2272" y="2700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7" name="Line 317"/>
              <xdr:cNvSpPr>
                <a:spLocks noChangeShapeType="1"/>
              </xdr:cNvSpPr>
            </xdr:nvSpPr>
            <xdr:spPr bwMode="auto">
              <a:xfrm>
                <a:off x="2272" y="2744"/>
                <a:ext cx="104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8" name="Line 318"/>
              <xdr:cNvSpPr>
                <a:spLocks noChangeShapeType="1"/>
              </xdr:cNvSpPr>
            </xdr:nvSpPr>
            <xdr:spPr bwMode="auto">
              <a:xfrm>
                <a:off x="2324" y="2744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70" name="Line 319"/>
            <xdr:cNvSpPr>
              <a:spLocks noChangeShapeType="1"/>
            </xdr:cNvSpPr>
          </xdr:nvSpPr>
          <xdr:spPr bwMode="auto">
            <a:xfrm>
              <a:off x="2420" y="2628"/>
              <a:ext cx="0" cy="12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Oval 320"/>
            <xdr:cNvSpPr>
              <a:spLocks noChangeArrowheads="1"/>
            </xdr:cNvSpPr>
          </xdr:nvSpPr>
          <xdr:spPr bwMode="auto">
            <a:xfrm>
              <a:off x="2400" y="2604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2" name="Line 321"/>
            <xdr:cNvSpPr>
              <a:spLocks noChangeShapeType="1"/>
            </xdr:cNvSpPr>
          </xdr:nvSpPr>
          <xdr:spPr bwMode="auto">
            <a:xfrm>
              <a:off x="2420" y="2936"/>
              <a:ext cx="0" cy="7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" name="Line 322"/>
            <xdr:cNvSpPr>
              <a:spLocks noChangeShapeType="1"/>
            </xdr:cNvSpPr>
          </xdr:nvSpPr>
          <xdr:spPr bwMode="auto">
            <a:xfrm>
              <a:off x="2548" y="2988"/>
              <a:ext cx="0" cy="9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" name="Line 323"/>
            <xdr:cNvSpPr>
              <a:spLocks noChangeShapeType="1"/>
            </xdr:cNvSpPr>
          </xdr:nvSpPr>
          <xdr:spPr bwMode="auto">
            <a:xfrm>
              <a:off x="2424" y="3008"/>
              <a:ext cx="12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" name="Oval 324"/>
            <xdr:cNvSpPr>
              <a:spLocks noChangeArrowheads="1"/>
            </xdr:cNvSpPr>
          </xdr:nvSpPr>
          <xdr:spPr bwMode="auto">
            <a:xfrm>
              <a:off x="2532" y="2988"/>
              <a:ext cx="40" cy="40"/>
            </a:xfrm>
            <a:prstGeom prst="ellipse">
              <a:avLst/>
            </a:prstGeom>
            <a:solidFill>
              <a:srgbClr val="00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6" name="Rectangle 325"/>
            <xdr:cNvSpPr>
              <a:spLocks noChangeArrowheads="1"/>
            </xdr:cNvSpPr>
          </xdr:nvSpPr>
          <xdr:spPr bwMode="auto">
            <a:xfrm>
              <a:off x="2272" y="2794"/>
              <a:ext cx="65" cy="7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C6</a:t>
              </a:r>
            </a:p>
            <a:p>
              <a:pPr algn="l" rtl="0">
                <a:defRPr sz="1000"/>
              </a:pP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7" name="Line 326"/>
            <xdr:cNvSpPr>
              <a:spLocks noChangeShapeType="1"/>
            </xdr:cNvSpPr>
          </xdr:nvSpPr>
          <xdr:spPr bwMode="auto">
            <a:xfrm flipV="1">
              <a:off x="2212" y="2104"/>
              <a:ext cx="0" cy="92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Rectangle 327"/>
            <xdr:cNvSpPr>
              <a:spLocks noChangeArrowheads="1"/>
            </xdr:cNvSpPr>
          </xdr:nvSpPr>
          <xdr:spPr bwMode="auto">
            <a:xfrm>
              <a:off x="2100" y="2025"/>
              <a:ext cx="8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9" name="Line 328"/>
            <xdr:cNvSpPr>
              <a:spLocks noChangeShapeType="1"/>
            </xdr:cNvSpPr>
          </xdr:nvSpPr>
          <xdr:spPr bwMode="auto">
            <a:xfrm flipH="1">
              <a:off x="1967" y="2299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Line 329"/>
            <xdr:cNvSpPr>
              <a:spLocks noChangeShapeType="1"/>
            </xdr:cNvSpPr>
          </xdr:nvSpPr>
          <xdr:spPr bwMode="auto">
            <a:xfrm flipH="1">
              <a:off x="1887" y="2435"/>
              <a:ext cx="78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1" name="Line 330"/>
            <xdr:cNvSpPr>
              <a:spLocks noChangeShapeType="1"/>
            </xdr:cNvSpPr>
          </xdr:nvSpPr>
          <xdr:spPr bwMode="auto">
            <a:xfrm rot="16200000" flipH="1">
              <a:off x="1903" y="2367"/>
              <a:ext cx="130" cy="1"/>
            </a:xfrm>
            <a:prstGeom prst="line">
              <a:avLst/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2" name="Rectangle 331"/>
            <xdr:cNvSpPr>
              <a:spLocks noChangeArrowheads="1"/>
            </xdr:cNvSpPr>
          </xdr:nvSpPr>
          <xdr:spPr bwMode="auto">
            <a:xfrm>
              <a:off x="2771" y="2573"/>
              <a:ext cx="102" cy="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gm</a:t>
              </a: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  <a:p>
              <a:pPr algn="l" rtl="0">
                <a:defRPr sz="1000"/>
              </a:pPr>
              <a:endParaRPr lang="en-US" sz="2400" b="0" i="0" u="none" strike="noStrike" baseline="0">
                <a:solidFill>
                  <a:srgbClr val="000000"/>
                </a:solidFill>
                <a:latin typeface="Times"/>
                <a:cs typeface="Times"/>
              </a:endParaRPr>
            </a:p>
          </xdr:txBody>
        </xdr:sp>
        <xdr:sp macro="" textlink="">
          <xdr:nvSpPr>
            <xdr:cNvPr id="85" name="Line 338"/>
            <xdr:cNvSpPr>
              <a:spLocks noChangeShapeType="1"/>
            </xdr:cNvSpPr>
          </xdr:nvSpPr>
          <xdr:spPr bwMode="auto">
            <a:xfrm flipV="1">
              <a:off x="3615" y="2316"/>
              <a:ext cx="1" cy="21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0" name="Rectangle 343"/>
            <xdr:cNvSpPr>
              <a:spLocks noChangeArrowheads="1"/>
            </xdr:cNvSpPr>
          </xdr:nvSpPr>
          <xdr:spPr bwMode="auto">
            <a:xfrm>
              <a:off x="2403" y="2219"/>
              <a:ext cx="82" cy="8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RT</a:t>
              </a:r>
            </a:p>
            <a:p>
              <a:pPr algn="l" rtl="0">
                <a:defRPr sz="1000"/>
              </a:pPr>
              <a:endPara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4" name="Rectangle 344"/>
          <xdr:cNvSpPr>
            <a:spLocks noChangeArrowheads="1"/>
          </xdr:cNvSpPr>
        </xdr:nvSpPr>
        <xdr:spPr bwMode="auto">
          <a:xfrm>
            <a:off x="1576" y="1716"/>
            <a:ext cx="2272" cy="144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35</xdr:row>
      <xdr:rowOff>123825</xdr:rowOff>
    </xdr:from>
    <xdr:to>
      <xdr:col>8</xdr:col>
      <xdr:colOff>66675</xdr:colOff>
      <xdr:row>66</xdr:row>
      <xdr:rowOff>57150</xdr:rowOff>
    </xdr:to>
    <xdr:grpSp>
      <xdr:nvGrpSpPr>
        <xdr:cNvPr id="122" name="Group 121"/>
        <xdr:cNvGrpSpPr/>
      </xdr:nvGrpSpPr>
      <xdr:grpSpPr>
        <a:xfrm>
          <a:off x="0" y="7172325"/>
          <a:ext cx="6858000" cy="5848350"/>
          <a:chOff x="0" y="6953250"/>
          <a:chExt cx="6858000" cy="5848350"/>
        </a:xfrm>
      </xdr:grpSpPr>
      <xdr:grpSp>
        <xdr:nvGrpSpPr>
          <xdr:cNvPr id="2" name="Group 223"/>
          <xdr:cNvGrpSpPr>
            <a:grpSpLocks/>
          </xdr:cNvGrpSpPr>
        </xdr:nvGrpSpPr>
        <xdr:grpSpPr bwMode="auto">
          <a:xfrm>
            <a:off x="0" y="6953250"/>
            <a:ext cx="6858000" cy="5848350"/>
            <a:chOff x="869" y="25"/>
            <a:chExt cx="562" cy="481"/>
          </a:xfrm>
        </xdr:grpSpPr>
        <xdr:pic>
          <xdr:nvPicPr>
            <xdr:cNvPr id="3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69" y="25"/>
              <a:ext cx="562" cy="481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" name="Text Box 9"/>
            <xdr:cNvSpPr txBox="1">
              <a:spLocks noChangeArrowheads="1"/>
            </xdr:cNvSpPr>
          </xdr:nvSpPr>
          <xdr:spPr bwMode="auto">
            <a:xfrm>
              <a:off x="896" y="394"/>
              <a:ext cx="56" cy="4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  <a:r>
                <a:rPr lang="en-US" sz="18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  <a:p>
              <a:pPr algn="l" rtl="0">
                <a:defRPr sz="1000"/>
              </a:pPr>
              <a:endPara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120" name="Straight Arrow Connector 119"/>
          <xdr:cNvCxnSpPr>
            <a:stCxn id="4" idx="3"/>
          </xdr:cNvCxnSpPr>
        </xdr:nvCxnSpPr>
        <xdr:spPr>
          <a:xfrm>
            <a:off x="1003077" y="11683571"/>
            <a:ext cx="435167" cy="3604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323850</xdr:colOff>
      <xdr:row>11</xdr:row>
      <xdr:rowOff>104775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65055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276224</xdr:colOff>
      <xdr:row>21</xdr:row>
      <xdr:rowOff>9524</xdr:rowOff>
    </xdr:from>
    <xdr:to>
      <xdr:col>15</xdr:col>
      <xdr:colOff>1689944</xdr:colOff>
      <xdr:row>24</xdr:row>
      <xdr:rowOff>104774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944349" y="4067174"/>
          <a:ext cx="2166195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0.49606</cdr:x>
      <cdr:y>0.50122</cdr:y>
    </cdr:from>
    <cdr:to>
      <cdr:x>0.5263</cdr:x>
      <cdr:y>0.55443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287" y="1702561"/>
          <a:ext cx="171050" cy="181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</cdr:x>
      <cdr:y>0.5017</cdr:y>
    </cdr:from>
    <cdr:to>
      <cdr:x>0.53197</cdr:x>
      <cdr:y>0.5537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4405" y="1703388"/>
          <a:ext cx="170022" cy="180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0.50614</cdr:x>
      <cdr:y>0.5017</cdr:y>
    </cdr:from>
    <cdr:to>
      <cdr:x>0.53516</cdr:x>
      <cdr:y>0.55419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66" y="1708150"/>
          <a:ext cx="170593" cy="181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0.49852</cdr:x>
      <cdr:y>0.54861</cdr:y>
    </cdr:from>
    <cdr:to>
      <cdr:x>0.52803</cdr:x>
      <cdr:y>0.59576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735" y="1879124"/>
          <a:ext cx="170307" cy="161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0.54885</cdr:y>
    </cdr:from>
    <cdr:to>
      <cdr:x>0.52433</cdr:x>
      <cdr:y>0.59576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147" y="1885196"/>
          <a:ext cx="170821" cy="16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``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M118"/>
  <sheetViews>
    <sheetView tabSelected="1" topLeftCell="A5" workbookViewId="0">
      <selection activeCell="B17" sqref="B17"/>
    </sheetView>
  </sheetViews>
  <sheetFormatPr defaultRowHeight="12.75"/>
  <cols>
    <col min="1" max="1" width="34.28515625" style="2" bestFit="1" customWidth="1"/>
    <col min="2" max="2" width="10.85546875" style="2" customWidth="1"/>
    <col min="3" max="3" width="7" style="2" customWidth="1"/>
    <col min="4" max="4" width="2.5703125" style="2" customWidth="1"/>
    <col min="5" max="5" width="26" style="2" customWidth="1"/>
    <col min="6" max="6" width="10.140625" style="2" customWidth="1"/>
    <col min="7" max="9" width="9.140625" style="2"/>
    <col min="10" max="10" width="14.28515625" style="2" bestFit="1" customWidth="1"/>
    <col min="11" max="11" width="15" style="2" bestFit="1" customWidth="1"/>
    <col min="12" max="12" width="13.7109375" style="2" bestFit="1" customWidth="1"/>
    <col min="13" max="256" width="9.140625" style="2"/>
    <col min="257" max="257" width="34.28515625" style="2" bestFit="1" customWidth="1"/>
    <col min="258" max="258" width="10.85546875" style="2" customWidth="1"/>
    <col min="259" max="259" width="7" style="2" customWidth="1"/>
    <col min="260" max="260" width="2.5703125" style="2" customWidth="1"/>
    <col min="261" max="261" width="26" style="2" customWidth="1"/>
    <col min="262" max="262" width="10.140625" style="2" customWidth="1"/>
    <col min="263" max="265" width="9.140625" style="2"/>
    <col min="266" max="266" width="14.28515625" style="2" bestFit="1" customWidth="1"/>
    <col min="267" max="267" width="15" style="2" bestFit="1" customWidth="1"/>
    <col min="268" max="268" width="13.7109375" style="2" bestFit="1" customWidth="1"/>
    <col min="269" max="512" width="9.140625" style="2"/>
    <col min="513" max="513" width="34.28515625" style="2" bestFit="1" customWidth="1"/>
    <col min="514" max="514" width="10.85546875" style="2" customWidth="1"/>
    <col min="515" max="515" width="7" style="2" customWidth="1"/>
    <col min="516" max="516" width="2.5703125" style="2" customWidth="1"/>
    <col min="517" max="517" width="26" style="2" customWidth="1"/>
    <col min="518" max="518" width="10.140625" style="2" customWidth="1"/>
    <col min="519" max="521" width="9.140625" style="2"/>
    <col min="522" max="522" width="14.28515625" style="2" bestFit="1" customWidth="1"/>
    <col min="523" max="523" width="15" style="2" bestFit="1" customWidth="1"/>
    <col min="524" max="524" width="13.7109375" style="2" bestFit="1" customWidth="1"/>
    <col min="525" max="768" width="9.140625" style="2"/>
    <col min="769" max="769" width="34.28515625" style="2" bestFit="1" customWidth="1"/>
    <col min="770" max="770" width="10.85546875" style="2" customWidth="1"/>
    <col min="771" max="771" width="7" style="2" customWidth="1"/>
    <col min="772" max="772" width="2.5703125" style="2" customWidth="1"/>
    <col min="773" max="773" width="26" style="2" customWidth="1"/>
    <col min="774" max="774" width="10.140625" style="2" customWidth="1"/>
    <col min="775" max="777" width="9.140625" style="2"/>
    <col min="778" max="778" width="14.28515625" style="2" bestFit="1" customWidth="1"/>
    <col min="779" max="779" width="15" style="2" bestFit="1" customWidth="1"/>
    <col min="780" max="780" width="13.7109375" style="2" bestFit="1" customWidth="1"/>
    <col min="781" max="1024" width="9.140625" style="2"/>
    <col min="1025" max="1025" width="34.28515625" style="2" bestFit="1" customWidth="1"/>
    <col min="1026" max="1026" width="10.85546875" style="2" customWidth="1"/>
    <col min="1027" max="1027" width="7" style="2" customWidth="1"/>
    <col min="1028" max="1028" width="2.5703125" style="2" customWidth="1"/>
    <col min="1029" max="1029" width="26" style="2" customWidth="1"/>
    <col min="1030" max="1030" width="10.140625" style="2" customWidth="1"/>
    <col min="1031" max="1033" width="9.140625" style="2"/>
    <col min="1034" max="1034" width="14.28515625" style="2" bestFit="1" customWidth="1"/>
    <col min="1035" max="1035" width="15" style="2" bestFit="1" customWidth="1"/>
    <col min="1036" max="1036" width="13.7109375" style="2" bestFit="1" customWidth="1"/>
    <col min="1037" max="1280" width="9.140625" style="2"/>
    <col min="1281" max="1281" width="34.28515625" style="2" bestFit="1" customWidth="1"/>
    <col min="1282" max="1282" width="10.85546875" style="2" customWidth="1"/>
    <col min="1283" max="1283" width="7" style="2" customWidth="1"/>
    <col min="1284" max="1284" width="2.5703125" style="2" customWidth="1"/>
    <col min="1285" max="1285" width="26" style="2" customWidth="1"/>
    <col min="1286" max="1286" width="10.140625" style="2" customWidth="1"/>
    <col min="1287" max="1289" width="9.140625" style="2"/>
    <col min="1290" max="1290" width="14.28515625" style="2" bestFit="1" customWidth="1"/>
    <col min="1291" max="1291" width="15" style="2" bestFit="1" customWidth="1"/>
    <col min="1292" max="1292" width="13.7109375" style="2" bestFit="1" customWidth="1"/>
    <col min="1293" max="1536" width="9.140625" style="2"/>
    <col min="1537" max="1537" width="34.28515625" style="2" bestFit="1" customWidth="1"/>
    <col min="1538" max="1538" width="10.85546875" style="2" customWidth="1"/>
    <col min="1539" max="1539" width="7" style="2" customWidth="1"/>
    <col min="1540" max="1540" width="2.5703125" style="2" customWidth="1"/>
    <col min="1541" max="1541" width="26" style="2" customWidth="1"/>
    <col min="1542" max="1542" width="10.140625" style="2" customWidth="1"/>
    <col min="1543" max="1545" width="9.140625" style="2"/>
    <col min="1546" max="1546" width="14.28515625" style="2" bestFit="1" customWidth="1"/>
    <col min="1547" max="1547" width="15" style="2" bestFit="1" customWidth="1"/>
    <col min="1548" max="1548" width="13.7109375" style="2" bestFit="1" customWidth="1"/>
    <col min="1549" max="1792" width="9.140625" style="2"/>
    <col min="1793" max="1793" width="34.28515625" style="2" bestFit="1" customWidth="1"/>
    <col min="1794" max="1794" width="10.85546875" style="2" customWidth="1"/>
    <col min="1795" max="1795" width="7" style="2" customWidth="1"/>
    <col min="1796" max="1796" width="2.5703125" style="2" customWidth="1"/>
    <col min="1797" max="1797" width="26" style="2" customWidth="1"/>
    <col min="1798" max="1798" width="10.140625" style="2" customWidth="1"/>
    <col min="1799" max="1801" width="9.140625" style="2"/>
    <col min="1802" max="1802" width="14.28515625" style="2" bestFit="1" customWidth="1"/>
    <col min="1803" max="1803" width="15" style="2" bestFit="1" customWidth="1"/>
    <col min="1804" max="1804" width="13.7109375" style="2" bestFit="1" customWidth="1"/>
    <col min="1805" max="2048" width="9.140625" style="2"/>
    <col min="2049" max="2049" width="34.28515625" style="2" bestFit="1" customWidth="1"/>
    <col min="2050" max="2050" width="10.85546875" style="2" customWidth="1"/>
    <col min="2051" max="2051" width="7" style="2" customWidth="1"/>
    <col min="2052" max="2052" width="2.5703125" style="2" customWidth="1"/>
    <col min="2053" max="2053" width="26" style="2" customWidth="1"/>
    <col min="2054" max="2054" width="10.140625" style="2" customWidth="1"/>
    <col min="2055" max="2057" width="9.140625" style="2"/>
    <col min="2058" max="2058" width="14.28515625" style="2" bestFit="1" customWidth="1"/>
    <col min="2059" max="2059" width="15" style="2" bestFit="1" customWidth="1"/>
    <col min="2060" max="2060" width="13.7109375" style="2" bestFit="1" customWidth="1"/>
    <col min="2061" max="2304" width="9.140625" style="2"/>
    <col min="2305" max="2305" width="34.28515625" style="2" bestFit="1" customWidth="1"/>
    <col min="2306" max="2306" width="10.85546875" style="2" customWidth="1"/>
    <col min="2307" max="2307" width="7" style="2" customWidth="1"/>
    <col min="2308" max="2308" width="2.5703125" style="2" customWidth="1"/>
    <col min="2309" max="2309" width="26" style="2" customWidth="1"/>
    <col min="2310" max="2310" width="10.140625" style="2" customWidth="1"/>
    <col min="2311" max="2313" width="9.140625" style="2"/>
    <col min="2314" max="2314" width="14.28515625" style="2" bestFit="1" customWidth="1"/>
    <col min="2315" max="2315" width="15" style="2" bestFit="1" customWidth="1"/>
    <col min="2316" max="2316" width="13.7109375" style="2" bestFit="1" customWidth="1"/>
    <col min="2317" max="2560" width="9.140625" style="2"/>
    <col min="2561" max="2561" width="34.28515625" style="2" bestFit="1" customWidth="1"/>
    <col min="2562" max="2562" width="10.85546875" style="2" customWidth="1"/>
    <col min="2563" max="2563" width="7" style="2" customWidth="1"/>
    <col min="2564" max="2564" width="2.5703125" style="2" customWidth="1"/>
    <col min="2565" max="2565" width="26" style="2" customWidth="1"/>
    <col min="2566" max="2566" width="10.140625" style="2" customWidth="1"/>
    <col min="2567" max="2569" width="9.140625" style="2"/>
    <col min="2570" max="2570" width="14.28515625" style="2" bestFit="1" customWidth="1"/>
    <col min="2571" max="2571" width="15" style="2" bestFit="1" customWidth="1"/>
    <col min="2572" max="2572" width="13.7109375" style="2" bestFit="1" customWidth="1"/>
    <col min="2573" max="2816" width="9.140625" style="2"/>
    <col min="2817" max="2817" width="34.28515625" style="2" bestFit="1" customWidth="1"/>
    <col min="2818" max="2818" width="10.85546875" style="2" customWidth="1"/>
    <col min="2819" max="2819" width="7" style="2" customWidth="1"/>
    <col min="2820" max="2820" width="2.5703125" style="2" customWidth="1"/>
    <col min="2821" max="2821" width="26" style="2" customWidth="1"/>
    <col min="2822" max="2822" width="10.140625" style="2" customWidth="1"/>
    <col min="2823" max="2825" width="9.140625" style="2"/>
    <col min="2826" max="2826" width="14.28515625" style="2" bestFit="1" customWidth="1"/>
    <col min="2827" max="2827" width="15" style="2" bestFit="1" customWidth="1"/>
    <col min="2828" max="2828" width="13.7109375" style="2" bestFit="1" customWidth="1"/>
    <col min="2829" max="3072" width="9.140625" style="2"/>
    <col min="3073" max="3073" width="34.28515625" style="2" bestFit="1" customWidth="1"/>
    <col min="3074" max="3074" width="10.85546875" style="2" customWidth="1"/>
    <col min="3075" max="3075" width="7" style="2" customWidth="1"/>
    <col min="3076" max="3076" width="2.5703125" style="2" customWidth="1"/>
    <col min="3077" max="3077" width="26" style="2" customWidth="1"/>
    <col min="3078" max="3078" width="10.140625" style="2" customWidth="1"/>
    <col min="3079" max="3081" width="9.140625" style="2"/>
    <col min="3082" max="3082" width="14.28515625" style="2" bestFit="1" customWidth="1"/>
    <col min="3083" max="3083" width="15" style="2" bestFit="1" customWidth="1"/>
    <col min="3084" max="3084" width="13.7109375" style="2" bestFit="1" customWidth="1"/>
    <col min="3085" max="3328" width="9.140625" style="2"/>
    <col min="3329" max="3329" width="34.28515625" style="2" bestFit="1" customWidth="1"/>
    <col min="3330" max="3330" width="10.85546875" style="2" customWidth="1"/>
    <col min="3331" max="3331" width="7" style="2" customWidth="1"/>
    <col min="3332" max="3332" width="2.5703125" style="2" customWidth="1"/>
    <col min="3333" max="3333" width="26" style="2" customWidth="1"/>
    <col min="3334" max="3334" width="10.140625" style="2" customWidth="1"/>
    <col min="3335" max="3337" width="9.140625" style="2"/>
    <col min="3338" max="3338" width="14.28515625" style="2" bestFit="1" customWidth="1"/>
    <col min="3339" max="3339" width="15" style="2" bestFit="1" customWidth="1"/>
    <col min="3340" max="3340" width="13.7109375" style="2" bestFit="1" customWidth="1"/>
    <col min="3341" max="3584" width="9.140625" style="2"/>
    <col min="3585" max="3585" width="34.28515625" style="2" bestFit="1" customWidth="1"/>
    <col min="3586" max="3586" width="10.85546875" style="2" customWidth="1"/>
    <col min="3587" max="3587" width="7" style="2" customWidth="1"/>
    <col min="3588" max="3588" width="2.5703125" style="2" customWidth="1"/>
    <col min="3589" max="3589" width="26" style="2" customWidth="1"/>
    <col min="3590" max="3590" width="10.140625" style="2" customWidth="1"/>
    <col min="3591" max="3593" width="9.140625" style="2"/>
    <col min="3594" max="3594" width="14.28515625" style="2" bestFit="1" customWidth="1"/>
    <col min="3595" max="3595" width="15" style="2" bestFit="1" customWidth="1"/>
    <col min="3596" max="3596" width="13.7109375" style="2" bestFit="1" customWidth="1"/>
    <col min="3597" max="3840" width="9.140625" style="2"/>
    <col min="3841" max="3841" width="34.28515625" style="2" bestFit="1" customWidth="1"/>
    <col min="3842" max="3842" width="10.85546875" style="2" customWidth="1"/>
    <col min="3843" max="3843" width="7" style="2" customWidth="1"/>
    <col min="3844" max="3844" width="2.5703125" style="2" customWidth="1"/>
    <col min="3845" max="3845" width="26" style="2" customWidth="1"/>
    <col min="3846" max="3846" width="10.140625" style="2" customWidth="1"/>
    <col min="3847" max="3849" width="9.140625" style="2"/>
    <col min="3850" max="3850" width="14.28515625" style="2" bestFit="1" customWidth="1"/>
    <col min="3851" max="3851" width="15" style="2" bestFit="1" customWidth="1"/>
    <col min="3852" max="3852" width="13.7109375" style="2" bestFit="1" customWidth="1"/>
    <col min="3853" max="4096" width="9.140625" style="2"/>
    <col min="4097" max="4097" width="34.28515625" style="2" bestFit="1" customWidth="1"/>
    <col min="4098" max="4098" width="10.85546875" style="2" customWidth="1"/>
    <col min="4099" max="4099" width="7" style="2" customWidth="1"/>
    <col min="4100" max="4100" width="2.5703125" style="2" customWidth="1"/>
    <col min="4101" max="4101" width="26" style="2" customWidth="1"/>
    <col min="4102" max="4102" width="10.140625" style="2" customWidth="1"/>
    <col min="4103" max="4105" width="9.140625" style="2"/>
    <col min="4106" max="4106" width="14.28515625" style="2" bestFit="1" customWidth="1"/>
    <col min="4107" max="4107" width="15" style="2" bestFit="1" customWidth="1"/>
    <col min="4108" max="4108" width="13.7109375" style="2" bestFit="1" customWidth="1"/>
    <col min="4109" max="4352" width="9.140625" style="2"/>
    <col min="4353" max="4353" width="34.28515625" style="2" bestFit="1" customWidth="1"/>
    <col min="4354" max="4354" width="10.85546875" style="2" customWidth="1"/>
    <col min="4355" max="4355" width="7" style="2" customWidth="1"/>
    <col min="4356" max="4356" width="2.5703125" style="2" customWidth="1"/>
    <col min="4357" max="4357" width="26" style="2" customWidth="1"/>
    <col min="4358" max="4358" width="10.140625" style="2" customWidth="1"/>
    <col min="4359" max="4361" width="9.140625" style="2"/>
    <col min="4362" max="4362" width="14.28515625" style="2" bestFit="1" customWidth="1"/>
    <col min="4363" max="4363" width="15" style="2" bestFit="1" customWidth="1"/>
    <col min="4364" max="4364" width="13.7109375" style="2" bestFit="1" customWidth="1"/>
    <col min="4365" max="4608" width="9.140625" style="2"/>
    <col min="4609" max="4609" width="34.28515625" style="2" bestFit="1" customWidth="1"/>
    <col min="4610" max="4610" width="10.85546875" style="2" customWidth="1"/>
    <col min="4611" max="4611" width="7" style="2" customWidth="1"/>
    <col min="4612" max="4612" width="2.5703125" style="2" customWidth="1"/>
    <col min="4613" max="4613" width="26" style="2" customWidth="1"/>
    <col min="4614" max="4614" width="10.140625" style="2" customWidth="1"/>
    <col min="4615" max="4617" width="9.140625" style="2"/>
    <col min="4618" max="4618" width="14.28515625" style="2" bestFit="1" customWidth="1"/>
    <col min="4619" max="4619" width="15" style="2" bestFit="1" customWidth="1"/>
    <col min="4620" max="4620" width="13.7109375" style="2" bestFit="1" customWidth="1"/>
    <col min="4621" max="4864" width="9.140625" style="2"/>
    <col min="4865" max="4865" width="34.28515625" style="2" bestFit="1" customWidth="1"/>
    <col min="4866" max="4866" width="10.85546875" style="2" customWidth="1"/>
    <col min="4867" max="4867" width="7" style="2" customWidth="1"/>
    <col min="4868" max="4868" width="2.5703125" style="2" customWidth="1"/>
    <col min="4869" max="4869" width="26" style="2" customWidth="1"/>
    <col min="4870" max="4870" width="10.140625" style="2" customWidth="1"/>
    <col min="4871" max="4873" width="9.140625" style="2"/>
    <col min="4874" max="4874" width="14.28515625" style="2" bestFit="1" customWidth="1"/>
    <col min="4875" max="4875" width="15" style="2" bestFit="1" customWidth="1"/>
    <col min="4876" max="4876" width="13.7109375" style="2" bestFit="1" customWidth="1"/>
    <col min="4877" max="5120" width="9.140625" style="2"/>
    <col min="5121" max="5121" width="34.28515625" style="2" bestFit="1" customWidth="1"/>
    <col min="5122" max="5122" width="10.85546875" style="2" customWidth="1"/>
    <col min="5123" max="5123" width="7" style="2" customWidth="1"/>
    <col min="5124" max="5124" width="2.5703125" style="2" customWidth="1"/>
    <col min="5125" max="5125" width="26" style="2" customWidth="1"/>
    <col min="5126" max="5126" width="10.140625" style="2" customWidth="1"/>
    <col min="5127" max="5129" width="9.140625" style="2"/>
    <col min="5130" max="5130" width="14.28515625" style="2" bestFit="1" customWidth="1"/>
    <col min="5131" max="5131" width="15" style="2" bestFit="1" customWidth="1"/>
    <col min="5132" max="5132" width="13.7109375" style="2" bestFit="1" customWidth="1"/>
    <col min="5133" max="5376" width="9.140625" style="2"/>
    <col min="5377" max="5377" width="34.28515625" style="2" bestFit="1" customWidth="1"/>
    <col min="5378" max="5378" width="10.85546875" style="2" customWidth="1"/>
    <col min="5379" max="5379" width="7" style="2" customWidth="1"/>
    <col min="5380" max="5380" width="2.5703125" style="2" customWidth="1"/>
    <col min="5381" max="5381" width="26" style="2" customWidth="1"/>
    <col min="5382" max="5382" width="10.140625" style="2" customWidth="1"/>
    <col min="5383" max="5385" width="9.140625" style="2"/>
    <col min="5386" max="5386" width="14.28515625" style="2" bestFit="1" customWidth="1"/>
    <col min="5387" max="5387" width="15" style="2" bestFit="1" customWidth="1"/>
    <col min="5388" max="5388" width="13.7109375" style="2" bestFit="1" customWidth="1"/>
    <col min="5389" max="5632" width="9.140625" style="2"/>
    <col min="5633" max="5633" width="34.28515625" style="2" bestFit="1" customWidth="1"/>
    <col min="5634" max="5634" width="10.85546875" style="2" customWidth="1"/>
    <col min="5635" max="5635" width="7" style="2" customWidth="1"/>
    <col min="5636" max="5636" width="2.5703125" style="2" customWidth="1"/>
    <col min="5637" max="5637" width="26" style="2" customWidth="1"/>
    <col min="5638" max="5638" width="10.140625" style="2" customWidth="1"/>
    <col min="5639" max="5641" width="9.140625" style="2"/>
    <col min="5642" max="5642" width="14.28515625" style="2" bestFit="1" customWidth="1"/>
    <col min="5643" max="5643" width="15" style="2" bestFit="1" customWidth="1"/>
    <col min="5644" max="5644" width="13.7109375" style="2" bestFit="1" customWidth="1"/>
    <col min="5645" max="5888" width="9.140625" style="2"/>
    <col min="5889" max="5889" width="34.28515625" style="2" bestFit="1" customWidth="1"/>
    <col min="5890" max="5890" width="10.85546875" style="2" customWidth="1"/>
    <col min="5891" max="5891" width="7" style="2" customWidth="1"/>
    <col min="5892" max="5892" width="2.5703125" style="2" customWidth="1"/>
    <col min="5893" max="5893" width="26" style="2" customWidth="1"/>
    <col min="5894" max="5894" width="10.140625" style="2" customWidth="1"/>
    <col min="5895" max="5897" width="9.140625" style="2"/>
    <col min="5898" max="5898" width="14.28515625" style="2" bestFit="1" customWidth="1"/>
    <col min="5899" max="5899" width="15" style="2" bestFit="1" customWidth="1"/>
    <col min="5900" max="5900" width="13.7109375" style="2" bestFit="1" customWidth="1"/>
    <col min="5901" max="6144" width="9.140625" style="2"/>
    <col min="6145" max="6145" width="34.28515625" style="2" bestFit="1" customWidth="1"/>
    <col min="6146" max="6146" width="10.85546875" style="2" customWidth="1"/>
    <col min="6147" max="6147" width="7" style="2" customWidth="1"/>
    <col min="6148" max="6148" width="2.5703125" style="2" customWidth="1"/>
    <col min="6149" max="6149" width="26" style="2" customWidth="1"/>
    <col min="6150" max="6150" width="10.140625" style="2" customWidth="1"/>
    <col min="6151" max="6153" width="9.140625" style="2"/>
    <col min="6154" max="6154" width="14.28515625" style="2" bestFit="1" customWidth="1"/>
    <col min="6155" max="6155" width="15" style="2" bestFit="1" customWidth="1"/>
    <col min="6156" max="6156" width="13.7109375" style="2" bestFit="1" customWidth="1"/>
    <col min="6157" max="6400" width="9.140625" style="2"/>
    <col min="6401" max="6401" width="34.28515625" style="2" bestFit="1" customWidth="1"/>
    <col min="6402" max="6402" width="10.85546875" style="2" customWidth="1"/>
    <col min="6403" max="6403" width="7" style="2" customWidth="1"/>
    <col min="6404" max="6404" width="2.5703125" style="2" customWidth="1"/>
    <col min="6405" max="6405" width="26" style="2" customWidth="1"/>
    <col min="6406" max="6406" width="10.140625" style="2" customWidth="1"/>
    <col min="6407" max="6409" width="9.140625" style="2"/>
    <col min="6410" max="6410" width="14.28515625" style="2" bestFit="1" customWidth="1"/>
    <col min="6411" max="6411" width="15" style="2" bestFit="1" customWidth="1"/>
    <col min="6412" max="6412" width="13.7109375" style="2" bestFit="1" customWidth="1"/>
    <col min="6413" max="6656" width="9.140625" style="2"/>
    <col min="6657" max="6657" width="34.28515625" style="2" bestFit="1" customWidth="1"/>
    <col min="6658" max="6658" width="10.85546875" style="2" customWidth="1"/>
    <col min="6659" max="6659" width="7" style="2" customWidth="1"/>
    <col min="6660" max="6660" width="2.5703125" style="2" customWidth="1"/>
    <col min="6661" max="6661" width="26" style="2" customWidth="1"/>
    <col min="6662" max="6662" width="10.140625" style="2" customWidth="1"/>
    <col min="6663" max="6665" width="9.140625" style="2"/>
    <col min="6666" max="6666" width="14.28515625" style="2" bestFit="1" customWidth="1"/>
    <col min="6667" max="6667" width="15" style="2" bestFit="1" customWidth="1"/>
    <col min="6668" max="6668" width="13.7109375" style="2" bestFit="1" customWidth="1"/>
    <col min="6669" max="6912" width="9.140625" style="2"/>
    <col min="6913" max="6913" width="34.28515625" style="2" bestFit="1" customWidth="1"/>
    <col min="6914" max="6914" width="10.85546875" style="2" customWidth="1"/>
    <col min="6915" max="6915" width="7" style="2" customWidth="1"/>
    <col min="6916" max="6916" width="2.5703125" style="2" customWidth="1"/>
    <col min="6917" max="6917" width="26" style="2" customWidth="1"/>
    <col min="6918" max="6918" width="10.140625" style="2" customWidth="1"/>
    <col min="6919" max="6921" width="9.140625" style="2"/>
    <col min="6922" max="6922" width="14.28515625" style="2" bestFit="1" customWidth="1"/>
    <col min="6923" max="6923" width="15" style="2" bestFit="1" customWidth="1"/>
    <col min="6924" max="6924" width="13.7109375" style="2" bestFit="1" customWidth="1"/>
    <col min="6925" max="7168" width="9.140625" style="2"/>
    <col min="7169" max="7169" width="34.28515625" style="2" bestFit="1" customWidth="1"/>
    <col min="7170" max="7170" width="10.85546875" style="2" customWidth="1"/>
    <col min="7171" max="7171" width="7" style="2" customWidth="1"/>
    <col min="7172" max="7172" width="2.5703125" style="2" customWidth="1"/>
    <col min="7173" max="7173" width="26" style="2" customWidth="1"/>
    <col min="7174" max="7174" width="10.140625" style="2" customWidth="1"/>
    <col min="7175" max="7177" width="9.140625" style="2"/>
    <col min="7178" max="7178" width="14.28515625" style="2" bestFit="1" customWidth="1"/>
    <col min="7179" max="7179" width="15" style="2" bestFit="1" customWidth="1"/>
    <col min="7180" max="7180" width="13.7109375" style="2" bestFit="1" customWidth="1"/>
    <col min="7181" max="7424" width="9.140625" style="2"/>
    <col min="7425" max="7425" width="34.28515625" style="2" bestFit="1" customWidth="1"/>
    <col min="7426" max="7426" width="10.85546875" style="2" customWidth="1"/>
    <col min="7427" max="7427" width="7" style="2" customWidth="1"/>
    <col min="7428" max="7428" width="2.5703125" style="2" customWidth="1"/>
    <col min="7429" max="7429" width="26" style="2" customWidth="1"/>
    <col min="7430" max="7430" width="10.140625" style="2" customWidth="1"/>
    <col min="7431" max="7433" width="9.140625" style="2"/>
    <col min="7434" max="7434" width="14.28515625" style="2" bestFit="1" customWidth="1"/>
    <col min="7435" max="7435" width="15" style="2" bestFit="1" customWidth="1"/>
    <col min="7436" max="7436" width="13.7109375" style="2" bestFit="1" customWidth="1"/>
    <col min="7437" max="7680" width="9.140625" style="2"/>
    <col min="7681" max="7681" width="34.28515625" style="2" bestFit="1" customWidth="1"/>
    <col min="7682" max="7682" width="10.85546875" style="2" customWidth="1"/>
    <col min="7683" max="7683" width="7" style="2" customWidth="1"/>
    <col min="7684" max="7684" width="2.5703125" style="2" customWidth="1"/>
    <col min="7685" max="7685" width="26" style="2" customWidth="1"/>
    <col min="7686" max="7686" width="10.140625" style="2" customWidth="1"/>
    <col min="7687" max="7689" width="9.140625" style="2"/>
    <col min="7690" max="7690" width="14.28515625" style="2" bestFit="1" customWidth="1"/>
    <col min="7691" max="7691" width="15" style="2" bestFit="1" customWidth="1"/>
    <col min="7692" max="7692" width="13.7109375" style="2" bestFit="1" customWidth="1"/>
    <col min="7693" max="7936" width="9.140625" style="2"/>
    <col min="7937" max="7937" width="34.28515625" style="2" bestFit="1" customWidth="1"/>
    <col min="7938" max="7938" width="10.85546875" style="2" customWidth="1"/>
    <col min="7939" max="7939" width="7" style="2" customWidth="1"/>
    <col min="7940" max="7940" width="2.5703125" style="2" customWidth="1"/>
    <col min="7941" max="7941" width="26" style="2" customWidth="1"/>
    <col min="7942" max="7942" width="10.140625" style="2" customWidth="1"/>
    <col min="7943" max="7945" width="9.140625" style="2"/>
    <col min="7946" max="7946" width="14.28515625" style="2" bestFit="1" customWidth="1"/>
    <col min="7947" max="7947" width="15" style="2" bestFit="1" customWidth="1"/>
    <col min="7948" max="7948" width="13.7109375" style="2" bestFit="1" customWidth="1"/>
    <col min="7949" max="8192" width="9.140625" style="2"/>
    <col min="8193" max="8193" width="34.28515625" style="2" bestFit="1" customWidth="1"/>
    <col min="8194" max="8194" width="10.85546875" style="2" customWidth="1"/>
    <col min="8195" max="8195" width="7" style="2" customWidth="1"/>
    <col min="8196" max="8196" width="2.5703125" style="2" customWidth="1"/>
    <col min="8197" max="8197" width="26" style="2" customWidth="1"/>
    <col min="8198" max="8198" width="10.140625" style="2" customWidth="1"/>
    <col min="8199" max="8201" width="9.140625" style="2"/>
    <col min="8202" max="8202" width="14.28515625" style="2" bestFit="1" customWidth="1"/>
    <col min="8203" max="8203" width="15" style="2" bestFit="1" customWidth="1"/>
    <col min="8204" max="8204" width="13.7109375" style="2" bestFit="1" customWidth="1"/>
    <col min="8205" max="8448" width="9.140625" style="2"/>
    <col min="8449" max="8449" width="34.28515625" style="2" bestFit="1" customWidth="1"/>
    <col min="8450" max="8450" width="10.85546875" style="2" customWidth="1"/>
    <col min="8451" max="8451" width="7" style="2" customWidth="1"/>
    <col min="8452" max="8452" width="2.5703125" style="2" customWidth="1"/>
    <col min="8453" max="8453" width="26" style="2" customWidth="1"/>
    <col min="8454" max="8454" width="10.140625" style="2" customWidth="1"/>
    <col min="8455" max="8457" width="9.140625" style="2"/>
    <col min="8458" max="8458" width="14.28515625" style="2" bestFit="1" customWidth="1"/>
    <col min="8459" max="8459" width="15" style="2" bestFit="1" customWidth="1"/>
    <col min="8460" max="8460" width="13.7109375" style="2" bestFit="1" customWidth="1"/>
    <col min="8461" max="8704" width="9.140625" style="2"/>
    <col min="8705" max="8705" width="34.28515625" style="2" bestFit="1" customWidth="1"/>
    <col min="8706" max="8706" width="10.85546875" style="2" customWidth="1"/>
    <col min="8707" max="8707" width="7" style="2" customWidth="1"/>
    <col min="8708" max="8708" width="2.5703125" style="2" customWidth="1"/>
    <col min="8709" max="8709" width="26" style="2" customWidth="1"/>
    <col min="8710" max="8710" width="10.140625" style="2" customWidth="1"/>
    <col min="8711" max="8713" width="9.140625" style="2"/>
    <col min="8714" max="8714" width="14.28515625" style="2" bestFit="1" customWidth="1"/>
    <col min="8715" max="8715" width="15" style="2" bestFit="1" customWidth="1"/>
    <col min="8716" max="8716" width="13.7109375" style="2" bestFit="1" customWidth="1"/>
    <col min="8717" max="8960" width="9.140625" style="2"/>
    <col min="8961" max="8961" width="34.28515625" style="2" bestFit="1" customWidth="1"/>
    <col min="8962" max="8962" width="10.85546875" style="2" customWidth="1"/>
    <col min="8963" max="8963" width="7" style="2" customWidth="1"/>
    <col min="8964" max="8964" width="2.5703125" style="2" customWidth="1"/>
    <col min="8965" max="8965" width="26" style="2" customWidth="1"/>
    <col min="8966" max="8966" width="10.140625" style="2" customWidth="1"/>
    <col min="8967" max="8969" width="9.140625" style="2"/>
    <col min="8970" max="8970" width="14.28515625" style="2" bestFit="1" customWidth="1"/>
    <col min="8971" max="8971" width="15" style="2" bestFit="1" customWidth="1"/>
    <col min="8972" max="8972" width="13.7109375" style="2" bestFit="1" customWidth="1"/>
    <col min="8973" max="9216" width="9.140625" style="2"/>
    <col min="9217" max="9217" width="34.28515625" style="2" bestFit="1" customWidth="1"/>
    <col min="9218" max="9218" width="10.85546875" style="2" customWidth="1"/>
    <col min="9219" max="9219" width="7" style="2" customWidth="1"/>
    <col min="9220" max="9220" width="2.5703125" style="2" customWidth="1"/>
    <col min="9221" max="9221" width="26" style="2" customWidth="1"/>
    <col min="9222" max="9222" width="10.140625" style="2" customWidth="1"/>
    <col min="9223" max="9225" width="9.140625" style="2"/>
    <col min="9226" max="9226" width="14.28515625" style="2" bestFit="1" customWidth="1"/>
    <col min="9227" max="9227" width="15" style="2" bestFit="1" customWidth="1"/>
    <col min="9228" max="9228" width="13.7109375" style="2" bestFit="1" customWidth="1"/>
    <col min="9229" max="9472" width="9.140625" style="2"/>
    <col min="9473" max="9473" width="34.28515625" style="2" bestFit="1" customWidth="1"/>
    <col min="9474" max="9474" width="10.85546875" style="2" customWidth="1"/>
    <col min="9475" max="9475" width="7" style="2" customWidth="1"/>
    <col min="9476" max="9476" width="2.5703125" style="2" customWidth="1"/>
    <col min="9477" max="9477" width="26" style="2" customWidth="1"/>
    <col min="9478" max="9478" width="10.140625" style="2" customWidth="1"/>
    <col min="9479" max="9481" width="9.140625" style="2"/>
    <col min="9482" max="9482" width="14.28515625" style="2" bestFit="1" customWidth="1"/>
    <col min="9483" max="9483" width="15" style="2" bestFit="1" customWidth="1"/>
    <col min="9484" max="9484" width="13.7109375" style="2" bestFit="1" customWidth="1"/>
    <col min="9485" max="9728" width="9.140625" style="2"/>
    <col min="9729" max="9729" width="34.28515625" style="2" bestFit="1" customWidth="1"/>
    <col min="9730" max="9730" width="10.85546875" style="2" customWidth="1"/>
    <col min="9731" max="9731" width="7" style="2" customWidth="1"/>
    <col min="9732" max="9732" width="2.5703125" style="2" customWidth="1"/>
    <col min="9733" max="9733" width="26" style="2" customWidth="1"/>
    <col min="9734" max="9734" width="10.140625" style="2" customWidth="1"/>
    <col min="9735" max="9737" width="9.140625" style="2"/>
    <col min="9738" max="9738" width="14.28515625" style="2" bestFit="1" customWidth="1"/>
    <col min="9739" max="9739" width="15" style="2" bestFit="1" customWidth="1"/>
    <col min="9740" max="9740" width="13.7109375" style="2" bestFit="1" customWidth="1"/>
    <col min="9741" max="9984" width="9.140625" style="2"/>
    <col min="9985" max="9985" width="34.28515625" style="2" bestFit="1" customWidth="1"/>
    <col min="9986" max="9986" width="10.85546875" style="2" customWidth="1"/>
    <col min="9987" max="9987" width="7" style="2" customWidth="1"/>
    <col min="9988" max="9988" width="2.5703125" style="2" customWidth="1"/>
    <col min="9989" max="9989" width="26" style="2" customWidth="1"/>
    <col min="9990" max="9990" width="10.140625" style="2" customWidth="1"/>
    <col min="9991" max="9993" width="9.140625" style="2"/>
    <col min="9994" max="9994" width="14.28515625" style="2" bestFit="1" customWidth="1"/>
    <col min="9995" max="9995" width="15" style="2" bestFit="1" customWidth="1"/>
    <col min="9996" max="9996" width="13.7109375" style="2" bestFit="1" customWidth="1"/>
    <col min="9997" max="10240" width="9.140625" style="2"/>
    <col min="10241" max="10241" width="34.28515625" style="2" bestFit="1" customWidth="1"/>
    <col min="10242" max="10242" width="10.85546875" style="2" customWidth="1"/>
    <col min="10243" max="10243" width="7" style="2" customWidth="1"/>
    <col min="10244" max="10244" width="2.5703125" style="2" customWidth="1"/>
    <col min="10245" max="10245" width="26" style="2" customWidth="1"/>
    <col min="10246" max="10246" width="10.140625" style="2" customWidth="1"/>
    <col min="10247" max="10249" width="9.140625" style="2"/>
    <col min="10250" max="10250" width="14.28515625" style="2" bestFit="1" customWidth="1"/>
    <col min="10251" max="10251" width="15" style="2" bestFit="1" customWidth="1"/>
    <col min="10252" max="10252" width="13.7109375" style="2" bestFit="1" customWidth="1"/>
    <col min="10253" max="10496" width="9.140625" style="2"/>
    <col min="10497" max="10497" width="34.28515625" style="2" bestFit="1" customWidth="1"/>
    <col min="10498" max="10498" width="10.85546875" style="2" customWidth="1"/>
    <col min="10499" max="10499" width="7" style="2" customWidth="1"/>
    <col min="10500" max="10500" width="2.5703125" style="2" customWidth="1"/>
    <col min="10501" max="10501" width="26" style="2" customWidth="1"/>
    <col min="10502" max="10502" width="10.140625" style="2" customWidth="1"/>
    <col min="10503" max="10505" width="9.140625" style="2"/>
    <col min="10506" max="10506" width="14.28515625" style="2" bestFit="1" customWidth="1"/>
    <col min="10507" max="10507" width="15" style="2" bestFit="1" customWidth="1"/>
    <col min="10508" max="10508" width="13.7109375" style="2" bestFit="1" customWidth="1"/>
    <col min="10509" max="10752" width="9.140625" style="2"/>
    <col min="10753" max="10753" width="34.28515625" style="2" bestFit="1" customWidth="1"/>
    <col min="10754" max="10754" width="10.85546875" style="2" customWidth="1"/>
    <col min="10755" max="10755" width="7" style="2" customWidth="1"/>
    <col min="10756" max="10756" width="2.5703125" style="2" customWidth="1"/>
    <col min="10757" max="10757" width="26" style="2" customWidth="1"/>
    <col min="10758" max="10758" width="10.140625" style="2" customWidth="1"/>
    <col min="10759" max="10761" width="9.140625" style="2"/>
    <col min="10762" max="10762" width="14.28515625" style="2" bestFit="1" customWidth="1"/>
    <col min="10763" max="10763" width="15" style="2" bestFit="1" customWidth="1"/>
    <col min="10764" max="10764" width="13.7109375" style="2" bestFit="1" customWidth="1"/>
    <col min="10765" max="11008" width="9.140625" style="2"/>
    <col min="11009" max="11009" width="34.28515625" style="2" bestFit="1" customWidth="1"/>
    <col min="11010" max="11010" width="10.85546875" style="2" customWidth="1"/>
    <col min="11011" max="11011" width="7" style="2" customWidth="1"/>
    <col min="11012" max="11012" width="2.5703125" style="2" customWidth="1"/>
    <col min="11013" max="11013" width="26" style="2" customWidth="1"/>
    <col min="11014" max="11014" width="10.140625" style="2" customWidth="1"/>
    <col min="11015" max="11017" width="9.140625" style="2"/>
    <col min="11018" max="11018" width="14.28515625" style="2" bestFit="1" customWidth="1"/>
    <col min="11019" max="11019" width="15" style="2" bestFit="1" customWidth="1"/>
    <col min="11020" max="11020" width="13.7109375" style="2" bestFit="1" customWidth="1"/>
    <col min="11021" max="11264" width="9.140625" style="2"/>
    <col min="11265" max="11265" width="34.28515625" style="2" bestFit="1" customWidth="1"/>
    <col min="11266" max="11266" width="10.85546875" style="2" customWidth="1"/>
    <col min="11267" max="11267" width="7" style="2" customWidth="1"/>
    <col min="11268" max="11268" width="2.5703125" style="2" customWidth="1"/>
    <col min="11269" max="11269" width="26" style="2" customWidth="1"/>
    <col min="11270" max="11270" width="10.140625" style="2" customWidth="1"/>
    <col min="11271" max="11273" width="9.140625" style="2"/>
    <col min="11274" max="11274" width="14.28515625" style="2" bestFit="1" customWidth="1"/>
    <col min="11275" max="11275" width="15" style="2" bestFit="1" customWidth="1"/>
    <col min="11276" max="11276" width="13.7109375" style="2" bestFit="1" customWidth="1"/>
    <col min="11277" max="11520" width="9.140625" style="2"/>
    <col min="11521" max="11521" width="34.28515625" style="2" bestFit="1" customWidth="1"/>
    <col min="11522" max="11522" width="10.85546875" style="2" customWidth="1"/>
    <col min="11523" max="11523" width="7" style="2" customWidth="1"/>
    <col min="11524" max="11524" width="2.5703125" style="2" customWidth="1"/>
    <col min="11525" max="11525" width="26" style="2" customWidth="1"/>
    <col min="11526" max="11526" width="10.140625" style="2" customWidth="1"/>
    <col min="11527" max="11529" width="9.140625" style="2"/>
    <col min="11530" max="11530" width="14.28515625" style="2" bestFit="1" customWidth="1"/>
    <col min="11531" max="11531" width="15" style="2" bestFit="1" customWidth="1"/>
    <col min="11532" max="11532" width="13.7109375" style="2" bestFit="1" customWidth="1"/>
    <col min="11533" max="11776" width="9.140625" style="2"/>
    <col min="11777" max="11777" width="34.28515625" style="2" bestFit="1" customWidth="1"/>
    <col min="11778" max="11778" width="10.85546875" style="2" customWidth="1"/>
    <col min="11779" max="11779" width="7" style="2" customWidth="1"/>
    <col min="11780" max="11780" width="2.5703125" style="2" customWidth="1"/>
    <col min="11781" max="11781" width="26" style="2" customWidth="1"/>
    <col min="11782" max="11782" width="10.140625" style="2" customWidth="1"/>
    <col min="11783" max="11785" width="9.140625" style="2"/>
    <col min="11786" max="11786" width="14.28515625" style="2" bestFit="1" customWidth="1"/>
    <col min="11787" max="11787" width="15" style="2" bestFit="1" customWidth="1"/>
    <col min="11788" max="11788" width="13.7109375" style="2" bestFit="1" customWidth="1"/>
    <col min="11789" max="12032" width="9.140625" style="2"/>
    <col min="12033" max="12033" width="34.28515625" style="2" bestFit="1" customWidth="1"/>
    <col min="12034" max="12034" width="10.85546875" style="2" customWidth="1"/>
    <col min="12035" max="12035" width="7" style="2" customWidth="1"/>
    <col min="12036" max="12036" width="2.5703125" style="2" customWidth="1"/>
    <col min="12037" max="12037" width="26" style="2" customWidth="1"/>
    <col min="12038" max="12038" width="10.140625" style="2" customWidth="1"/>
    <col min="12039" max="12041" width="9.140625" style="2"/>
    <col min="12042" max="12042" width="14.28515625" style="2" bestFit="1" customWidth="1"/>
    <col min="12043" max="12043" width="15" style="2" bestFit="1" customWidth="1"/>
    <col min="12044" max="12044" width="13.7109375" style="2" bestFit="1" customWidth="1"/>
    <col min="12045" max="12288" width="9.140625" style="2"/>
    <col min="12289" max="12289" width="34.28515625" style="2" bestFit="1" customWidth="1"/>
    <col min="12290" max="12290" width="10.85546875" style="2" customWidth="1"/>
    <col min="12291" max="12291" width="7" style="2" customWidth="1"/>
    <col min="12292" max="12292" width="2.5703125" style="2" customWidth="1"/>
    <col min="12293" max="12293" width="26" style="2" customWidth="1"/>
    <col min="12294" max="12294" width="10.140625" style="2" customWidth="1"/>
    <col min="12295" max="12297" width="9.140625" style="2"/>
    <col min="12298" max="12298" width="14.28515625" style="2" bestFit="1" customWidth="1"/>
    <col min="12299" max="12299" width="15" style="2" bestFit="1" customWidth="1"/>
    <col min="12300" max="12300" width="13.7109375" style="2" bestFit="1" customWidth="1"/>
    <col min="12301" max="12544" width="9.140625" style="2"/>
    <col min="12545" max="12545" width="34.28515625" style="2" bestFit="1" customWidth="1"/>
    <col min="12546" max="12546" width="10.85546875" style="2" customWidth="1"/>
    <col min="12547" max="12547" width="7" style="2" customWidth="1"/>
    <col min="12548" max="12548" width="2.5703125" style="2" customWidth="1"/>
    <col min="12549" max="12549" width="26" style="2" customWidth="1"/>
    <col min="12550" max="12550" width="10.140625" style="2" customWidth="1"/>
    <col min="12551" max="12553" width="9.140625" style="2"/>
    <col min="12554" max="12554" width="14.28515625" style="2" bestFit="1" customWidth="1"/>
    <col min="12555" max="12555" width="15" style="2" bestFit="1" customWidth="1"/>
    <col min="12556" max="12556" width="13.7109375" style="2" bestFit="1" customWidth="1"/>
    <col min="12557" max="12800" width="9.140625" style="2"/>
    <col min="12801" max="12801" width="34.28515625" style="2" bestFit="1" customWidth="1"/>
    <col min="12802" max="12802" width="10.85546875" style="2" customWidth="1"/>
    <col min="12803" max="12803" width="7" style="2" customWidth="1"/>
    <col min="12804" max="12804" width="2.5703125" style="2" customWidth="1"/>
    <col min="12805" max="12805" width="26" style="2" customWidth="1"/>
    <col min="12806" max="12806" width="10.140625" style="2" customWidth="1"/>
    <col min="12807" max="12809" width="9.140625" style="2"/>
    <col min="12810" max="12810" width="14.28515625" style="2" bestFit="1" customWidth="1"/>
    <col min="12811" max="12811" width="15" style="2" bestFit="1" customWidth="1"/>
    <col min="12812" max="12812" width="13.7109375" style="2" bestFit="1" customWidth="1"/>
    <col min="12813" max="13056" width="9.140625" style="2"/>
    <col min="13057" max="13057" width="34.28515625" style="2" bestFit="1" customWidth="1"/>
    <col min="13058" max="13058" width="10.85546875" style="2" customWidth="1"/>
    <col min="13059" max="13059" width="7" style="2" customWidth="1"/>
    <col min="13060" max="13060" width="2.5703125" style="2" customWidth="1"/>
    <col min="13061" max="13061" width="26" style="2" customWidth="1"/>
    <col min="13062" max="13062" width="10.140625" style="2" customWidth="1"/>
    <col min="13063" max="13065" width="9.140625" style="2"/>
    <col min="13066" max="13066" width="14.28515625" style="2" bestFit="1" customWidth="1"/>
    <col min="13067" max="13067" width="15" style="2" bestFit="1" customWidth="1"/>
    <col min="13068" max="13068" width="13.7109375" style="2" bestFit="1" customWidth="1"/>
    <col min="13069" max="13312" width="9.140625" style="2"/>
    <col min="13313" max="13313" width="34.28515625" style="2" bestFit="1" customWidth="1"/>
    <col min="13314" max="13314" width="10.85546875" style="2" customWidth="1"/>
    <col min="13315" max="13315" width="7" style="2" customWidth="1"/>
    <col min="13316" max="13316" width="2.5703125" style="2" customWidth="1"/>
    <col min="13317" max="13317" width="26" style="2" customWidth="1"/>
    <col min="13318" max="13318" width="10.140625" style="2" customWidth="1"/>
    <col min="13319" max="13321" width="9.140625" style="2"/>
    <col min="13322" max="13322" width="14.28515625" style="2" bestFit="1" customWidth="1"/>
    <col min="13323" max="13323" width="15" style="2" bestFit="1" customWidth="1"/>
    <col min="13324" max="13324" width="13.7109375" style="2" bestFit="1" customWidth="1"/>
    <col min="13325" max="13568" width="9.140625" style="2"/>
    <col min="13569" max="13569" width="34.28515625" style="2" bestFit="1" customWidth="1"/>
    <col min="13570" max="13570" width="10.85546875" style="2" customWidth="1"/>
    <col min="13571" max="13571" width="7" style="2" customWidth="1"/>
    <col min="13572" max="13572" width="2.5703125" style="2" customWidth="1"/>
    <col min="13573" max="13573" width="26" style="2" customWidth="1"/>
    <col min="13574" max="13574" width="10.140625" style="2" customWidth="1"/>
    <col min="13575" max="13577" width="9.140625" style="2"/>
    <col min="13578" max="13578" width="14.28515625" style="2" bestFit="1" customWidth="1"/>
    <col min="13579" max="13579" width="15" style="2" bestFit="1" customWidth="1"/>
    <col min="13580" max="13580" width="13.7109375" style="2" bestFit="1" customWidth="1"/>
    <col min="13581" max="13824" width="9.140625" style="2"/>
    <col min="13825" max="13825" width="34.28515625" style="2" bestFit="1" customWidth="1"/>
    <col min="13826" max="13826" width="10.85546875" style="2" customWidth="1"/>
    <col min="13827" max="13827" width="7" style="2" customWidth="1"/>
    <col min="13828" max="13828" width="2.5703125" style="2" customWidth="1"/>
    <col min="13829" max="13829" width="26" style="2" customWidth="1"/>
    <col min="13830" max="13830" width="10.140625" style="2" customWidth="1"/>
    <col min="13831" max="13833" width="9.140625" style="2"/>
    <col min="13834" max="13834" width="14.28515625" style="2" bestFit="1" customWidth="1"/>
    <col min="13835" max="13835" width="15" style="2" bestFit="1" customWidth="1"/>
    <col min="13836" max="13836" width="13.7109375" style="2" bestFit="1" customWidth="1"/>
    <col min="13837" max="14080" width="9.140625" style="2"/>
    <col min="14081" max="14081" width="34.28515625" style="2" bestFit="1" customWidth="1"/>
    <col min="14082" max="14082" width="10.85546875" style="2" customWidth="1"/>
    <col min="14083" max="14083" width="7" style="2" customWidth="1"/>
    <col min="14084" max="14084" width="2.5703125" style="2" customWidth="1"/>
    <col min="14085" max="14085" width="26" style="2" customWidth="1"/>
    <col min="14086" max="14086" width="10.140625" style="2" customWidth="1"/>
    <col min="14087" max="14089" width="9.140625" style="2"/>
    <col min="14090" max="14090" width="14.28515625" style="2" bestFit="1" customWidth="1"/>
    <col min="14091" max="14091" width="15" style="2" bestFit="1" customWidth="1"/>
    <col min="14092" max="14092" width="13.7109375" style="2" bestFit="1" customWidth="1"/>
    <col min="14093" max="14336" width="9.140625" style="2"/>
    <col min="14337" max="14337" width="34.28515625" style="2" bestFit="1" customWidth="1"/>
    <col min="14338" max="14338" width="10.85546875" style="2" customWidth="1"/>
    <col min="14339" max="14339" width="7" style="2" customWidth="1"/>
    <col min="14340" max="14340" width="2.5703125" style="2" customWidth="1"/>
    <col min="14341" max="14341" width="26" style="2" customWidth="1"/>
    <col min="14342" max="14342" width="10.140625" style="2" customWidth="1"/>
    <col min="14343" max="14345" width="9.140625" style="2"/>
    <col min="14346" max="14346" width="14.28515625" style="2" bestFit="1" customWidth="1"/>
    <col min="14347" max="14347" width="15" style="2" bestFit="1" customWidth="1"/>
    <col min="14348" max="14348" width="13.7109375" style="2" bestFit="1" customWidth="1"/>
    <col min="14349" max="14592" width="9.140625" style="2"/>
    <col min="14593" max="14593" width="34.28515625" style="2" bestFit="1" customWidth="1"/>
    <col min="14594" max="14594" width="10.85546875" style="2" customWidth="1"/>
    <col min="14595" max="14595" width="7" style="2" customWidth="1"/>
    <col min="14596" max="14596" width="2.5703125" style="2" customWidth="1"/>
    <col min="14597" max="14597" width="26" style="2" customWidth="1"/>
    <col min="14598" max="14598" width="10.140625" style="2" customWidth="1"/>
    <col min="14599" max="14601" width="9.140625" style="2"/>
    <col min="14602" max="14602" width="14.28515625" style="2" bestFit="1" customWidth="1"/>
    <col min="14603" max="14603" width="15" style="2" bestFit="1" customWidth="1"/>
    <col min="14604" max="14604" width="13.7109375" style="2" bestFit="1" customWidth="1"/>
    <col min="14605" max="14848" width="9.140625" style="2"/>
    <col min="14849" max="14849" width="34.28515625" style="2" bestFit="1" customWidth="1"/>
    <col min="14850" max="14850" width="10.85546875" style="2" customWidth="1"/>
    <col min="14851" max="14851" width="7" style="2" customWidth="1"/>
    <col min="14852" max="14852" width="2.5703125" style="2" customWidth="1"/>
    <col min="14853" max="14853" width="26" style="2" customWidth="1"/>
    <col min="14854" max="14854" width="10.140625" style="2" customWidth="1"/>
    <col min="14855" max="14857" width="9.140625" style="2"/>
    <col min="14858" max="14858" width="14.28515625" style="2" bestFit="1" customWidth="1"/>
    <col min="14859" max="14859" width="15" style="2" bestFit="1" customWidth="1"/>
    <col min="14860" max="14860" width="13.7109375" style="2" bestFit="1" customWidth="1"/>
    <col min="14861" max="15104" width="9.140625" style="2"/>
    <col min="15105" max="15105" width="34.28515625" style="2" bestFit="1" customWidth="1"/>
    <col min="15106" max="15106" width="10.85546875" style="2" customWidth="1"/>
    <col min="15107" max="15107" width="7" style="2" customWidth="1"/>
    <col min="15108" max="15108" width="2.5703125" style="2" customWidth="1"/>
    <col min="15109" max="15109" width="26" style="2" customWidth="1"/>
    <col min="15110" max="15110" width="10.140625" style="2" customWidth="1"/>
    <col min="15111" max="15113" width="9.140625" style="2"/>
    <col min="15114" max="15114" width="14.28515625" style="2" bestFit="1" customWidth="1"/>
    <col min="15115" max="15115" width="15" style="2" bestFit="1" customWidth="1"/>
    <col min="15116" max="15116" width="13.7109375" style="2" bestFit="1" customWidth="1"/>
    <col min="15117" max="15360" width="9.140625" style="2"/>
    <col min="15361" max="15361" width="34.28515625" style="2" bestFit="1" customWidth="1"/>
    <col min="15362" max="15362" width="10.85546875" style="2" customWidth="1"/>
    <col min="15363" max="15363" width="7" style="2" customWidth="1"/>
    <col min="15364" max="15364" width="2.5703125" style="2" customWidth="1"/>
    <col min="15365" max="15365" width="26" style="2" customWidth="1"/>
    <col min="15366" max="15366" width="10.140625" style="2" customWidth="1"/>
    <col min="15367" max="15369" width="9.140625" style="2"/>
    <col min="15370" max="15370" width="14.28515625" style="2" bestFit="1" customWidth="1"/>
    <col min="15371" max="15371" width="15" style="2" bestFit="1" customWidth="1"/>
    <col min="15372" max="15372" width="13.7109375" style="2" bestFit="1" customWidth="1"/>
    <col min="15373" max="15616" width="9.140625" style="2"/>
    <col min="15617" max="15617" width="34.28515625" style="2" bestFit="1" customWidth="1"/>
    <col min="15618" max="15618" width="10.85546875" style="2" customWidth="1"/>
    <col min="15619" max="15619" width="7" style="2" customWidth="1"/>
    <col min="15620" max="15620" width="2.5703125" style="2" customWidth="1"/>
    <col min="15621" max="15621" width="26" style="2" customWidth="1"/>
    <col min="15622" max="15622" width="10.140625" style="2" customWidth="1"/>
    <col min="15623" max="15625" width="9.140625" style="2"/>
    <col min="15626" max="15626" width="14.28515625" style="2" bestFit="1" customWidth="1"/>
    <col min="15627" max="15627" width="15" style="2" bestFit="1" customWidth="1"/>
    <col min="15628" max="15628" width="13.7109375" style="2" bestFit="1" customWidth="1"/>
    <col min="15629" max="15872" width="9.140625" style="2"/>
    <col min="15873" max="15873" width="34.28515625" style="2" bestFit="1" customWidth="1"/>
    <col min="15874" max="15874" width="10.85546875" style="2" customWidth="1"/>
    <col min="15875" max="15875" width="7" style="2" customWidth="1"/>
    <col min="15876" max="15876" width="2.5703125" style="2" customWidth="1"/>
    <col min="15877" max="15877" width="26" style="2" customWidth="1"/>
    <col min="15878" max="15878" width="10.140625" style="2" customWidth="1"/>
    <col min="15879" max="15881" width="9.140625" style="2"/>
    <col min="15882" max="15882" width="14.28515625" style="2" bestFit="1" customWidth="1"/>
    <col min="15883" max="15883" width="15" style="2" bestFit="1" customWidth="1"/>
    <col min="15884" max="15884" width="13.7109375" style="2" bestFit="1" customWidth="1"/>
    <col min="15885" max="16128" width="9.140625" style="2"/>
    <col min="16129" max="16129" width="34.28515625" style="2" bestFit="1" customWidth="1"/>
    <col min="16130" max="16130" width="10.85546875" style="2" customWidth="1"/>
    <col min="16131" max="16131" width="7" style="2" customWidth="1"/>
    <col min="16132" max="16132" width="2.5703125" style="2" customWidth="1"/>
    <col min="16133" max="16133" width="26" style="2" customWidth="1"/>
    <col min="16134" max="16134" width="10.140625" style="2" customWidth="1"/>
    <col min="16135" max="16137" width="9.140625" style="2"/>
    <col min="16138" max="16138" width="14.28515625" style="2" bestFit="1" customWidth="1"/>
    <col min="16139" max="16139" width="15" style="2" bestFit="1" customWidth="1"/>
    <col min="16140" max="16140" width="13.7109375" style="2" bestFit="1" customWidth="1"/>
    <col min="16141" max="16384" width="9.140625" style="2"/>
  </cols>
  <sheetData>
    <row r="13" spans="1:8" ht="13.5" thickBot="1">
      <c r="A13" s="1"/>
      <c r="B13" s="1"/>
      <c r="C13" s="1"/>
      <c r="D13" s="1"/>
      <c r="E13" s="1"/>
      <c r="F13" s="1"/>
      <c r="G13" s="1"/>
      <c r="H13" s="1"/>
    </row>
    <row r="14" spans="1:8">
      <c r="A14" s="2" t="s">
        <v>255</v>
      </c>
    </row>
    <row r="16" spans="1:8" ht="18">
      <c r="A16" s="3" t="s">
        <v>0</v>
      </c>
    </row>
    <row r="17" spans="1:13" ht="12.95" customHeight="1">
      <c r="A17" s="2" t="s">
        <v>262</v>
      </c>
      <c r="B17" s="121" t="s">
        <v>275</v>
      </c>
      <c r="F17" s="4" t="str">
        <f>IF(F18&lt;80,"Minimum On-Time Too Low. Reduce Operating Frequency!","")</f>
        <v/>
      </c>
    </row>
    <row r="18" spans="1:13" ht="12.95" customHeight="1">
      <c r="A18" s="2" t="s">
        <v>1</v>
      </c>
      <c r="B18" s="128">
        <v>450</v>
      </c>
      <c r="C18" s="6" t="s">
        <v>2</v>
      </c>
      <c r="E18" s="2" t="s">
        <v>3</v>
      </c>
      <c r="F18" s="7">
        <f>D*1000000000/(Fs*1000)</f>
        <v>491.09142245926654</v>
      </c>
      <c r="G18" s="6" t="s">
        <v>4</v>
      </c>
    </row>
    <row r="19" spans="1:13" ht="12.95" customHeight="1">
      <c r="A19" s="2" t="str">
        <f>IF(OR(Vin&lt;3.8,Vin&gt;32),"Input Voltage Out of Range","Input Voltage (3.8V-32V)")</f>
        <v>Input Voltage (3.8V-32V)</v>
      </c>
      <c r="B19" s="127">
        <v>24</v>
      </c>
      <c r="C19" s="6" t="s">
        <v>5</v>
      </c>
      <c r="D19" s="137"/>
      <c r="E19" s="2" t="s">
        <v>6</v>
      </c>
      <c r="F19" s="9">
        <f>(Vout + (Iout*((DCR+Ron_l)/1000)))/(Vin+(Iout*((Ron_l-Ron_u)/1000)))</f>
        <v>0.22099114010666993</v>
      </c>
      <c r="G19" s="6"/>
      <c r="H19" s="10"/>
    </row>
    <row r="20" spans="1:13" ht="12.95" customHeight="1">
      <c r="A20" s="2" t="str">
        <f>IF(OR(Vout&lt;0.8,Vout&gt;Vin), "Output Voltage Out of Range", "Ouptut Voltage")</f>
        <v>Ouptut Voltage</v>
      </c>
      <c r="B20" s="127">
        <v>5</v>
      </c>
      <c r="C20" s="6" t="s">
        <v>5</v>
      </c>
      <c r="E20" s="2" t="s">
        <v>7</v>
      </c>
      <c r="F20" s="11">
        <f>Vout/Iout</f>
        <v>1.6666666666666667</v>
      </c>
      <c r="G20" s="6" t="s">
        <v>8</v>
      </c>
    </row>
    <row r="21" spans="1:13" ht="12.95" customHeight="1">
      <c r="A21" s="2" t="s">
        <v>9</v>
      </c>
      <c r="B21" s="127">
        <v>3</v>
      </c>
      <c r="C21" s="6" t="s">
        <v>10</v>
      </c>
    </row>
    <row r="22" spans="1:13" ht="12.95" customHeight="1">
      <c r="B22" s="129"/>
      <c r="E22" s="2" t="s">
        <v>11</v>
      </c>
      <c r="F22" s="9">
        <f>Iout*SQRT(D)*SQRT(1+1/3*(Irip/2/Iout)^2)</f>
        <v>1.4329779788392836</v>
      </c>
      <c r="G22" s="6" t="s">
        <v>10</v>
      </c>
    </row>
    <row r="23" spans="1:13" ht="12.95" customHeight="1">
      <c r="A23" s="13" t="s">
        <v>12</v>
      </c>
      <c r="B23" s="129"/>
      <c r="E23" s="2" t="s">
        <v>13</v>
      </c>
      <c r="F23" s="9">
        <f>Iout*SQRT(1-D)*SQRT(1+1/3*(Irip/2/Iout)^2)</f>
        <v>2.6904398299792356</v>
      </c>
      <c r="G23" s="6" t="s">
        <v>10</v>
      </c>
    </row>
    <row r="24" spans="1:13" ht="12.95" customHeight="1">
      <c r="A24" s="14" t="s">
        <v>14</v>
      </c>
      <c r="B24" s="130">
        <v>40</v>
      </c>
      <c r="C24" s="15" t="s">
        <v>15</v>
      </c>
      <c r="F24" s="12"/>
    </row>
    <row r="25" spans="1:13" ht="12.95" customHeight="1">
      <c r="A25" s="14"/>
      <c r="B25" s="131"/>
      <c r="C25" s="14"/>
      <c r="F25" s="12"/>
    </row>
    <row r="26" spans="1:13" ht="12.95" customHeight="1">
      <c r="A26" s="14" t="s">
        <v>16</v>
      </c>
      <c r="B26" s="132">
        <f>IF(OR(B17="AP63356",B17="AP63357",B17="AP63356Q",B17="AP63357Q"),MAX((((Vin-Vout)*D)/((Fs*10^3)*3.5*(LIR/100)))*10^6, Vout*Dmax*1000000/(0.8*Se*Compensation!C28)), MAX((((Vin-Vout)*D)/((Fs*10^3)*2*(LIR/100)))*10^6, Vout*Dmax*1000000/(0.8*Se*Compensation!C28)))</f>
        <v>6.6648121619471885</v>
      </c>
      <c r="C26" s="15" t="s">
        <v>17</v>
      </c>
      <c r="E26" s="2" t="s">
        <v>18</v>
      </c>
      <c r="F26" s="9">
        <f>(Vin-Vout)*((Vout)/(Vin*Lout*10^(-6)*Fs*10^3))</f>
        <v>1.8715524034672972</v>
      </c>
      <c r="G26" s="6" t="s">
        <v>19</v>
      </c>
      <c r="H26" s="10"/>
      <c r="J26" s="17"/>
      <c r="K26" s="17"/>
      <c r="L26" s="17"/>
      <c r="M26" s="4"/>
    </row>
    <row r="27" spans="1:13" ht="12.95" customHeight="1">
      <c r="A27" s="2" t="str">
        <f>IF(OR(B17="AP63206",B17="AP63207"),"Output Inductor (Isat &gt; 3.5A)","Output Inductor (Isat &gt; 5.5A)")</f>
        <v>Output Inductor (Isat &gt; 5.5A)</v>
      </c>
      <c r="B27" s="127">
        <v>4.7</v>
      </c>
      <c r="C27" s="6" t="s">
        <v>17</v>
      </c>
      <c r="E27" s="2" t="s">
        <v>248</v>
      </c>
      <c r="F27" s="9">
        <f>Irip*ESR/ncap+Irip/(8*Fs*ncap*Cap*0.000001)</f>
        <v>22.008069929661737</v>
      </c>
      <c r="G27" s="6" t="s">
        <v>250</v>
      </c>
      <c r="J27" s="16"/>
      <c r="K27" s="16" t="s">
        <v>32</v>
      </c>
      <c r="L27" s="16" t="s">
        <v>21</v>
      </c>
      <c r="M27" s="4"/>
    </row>
    <row r="28" spans="1:13" ht="12.95" customHeight="1">
      <c r="A28" s="18" t="s">
        <v>22</v>
      </c>
      <c r="B28" s="133">
        <v>25</v>
      </c>
      <c r="C28" s="6" t="s">
        <v>23</v>
      </c>
      <c r="E28" s="4" t="str">
        <f>IF(Vout*Dmax/(Lout*0.000001)&gt;0.85*Se*Compensation!C28, "Must Increase L", " ")</f>
        <v xml:space="preserve"> </v>
      </c>
      <c r="G28" s="14"/>
      <c r="J28" s="16" t="s">
        <v>24</v>
      </c>
      <c r="K28" s="19">
        <f>B55</f>
        <v>0.22494818580444012</v>
      </c>
      <c r="L28" s="19">
        <f>B56+B57+B58+B59</f>
        <v>0.44914134052104071</v>
      </c>
      <c r="M28" s="4"/>
    </row>
    <row r="29" spans="1:13" ht="12.95" customHeight="1">
      <c r="A29" s="18"/>
      <c r="B29" s="129"/>
      <c r="G29" s="14"/>
      <c r="J29" s="16" t="s">
        <v>25</v>
      </c>
      <c r="K29" s="19">
        <f>B72</f>
        <v>0.48367433010931976</v>
      </c>
      <c r="L29" s="19">
        <f>B73+B74+B75</f>
        <v>0.11477622801174321</v>
      </c>
      <c r="M29" s="4"/>
    </row>
    <row r="30" spans="1:13" ht="12.95" customHeight="1">
      <c r="A30" s="13" t="s">
        <v>26</v>
      </c>
      <c r="B30" s="129"/>
      <c r="D30" s="14"/>
      <c r="E30" s="120" t="s">
        <v>251</v>
      </c>
      <c r="F30" s="14"/>
      <c r="G30" s="14"/>
      <c r="J30" s="16" t="s">
        <v>27</v>
      </c>
      <c r="K30" s="16"/>
      <c r="L30" s="19">
        <f>B82+B83</f>
        <v>8.9999999999999998E-4</v>
      </c>
      <c r="M30" s="4"/>
    </row>
    <row r="31" spans="1:13" ht="12.95" customHeight="1">
      <c r="A31" s="2" t="s">
        <v>28</v>
      </c>
      <c r="B31" s="133">
        <v>2</v>
      </c>
      <c r="D31" s="14"/>
      <c r="E31" s="126" t="s">
        <v>252</v>
      </c>
      <c r="F31" s="8">
        <v>3.7</v>
      </c>
      <c r="G31" s="6" t="str">
        <f>IF(F31&lt;3.7, "Too Low", "V")</f>
        <v>V</v>
      </c>
      <c r="J31" s="16" t="s">
        <v>20</v>
      </c>
      <c r="K31" s="19">
        <f>B89</f>
        <v>0.25418923665770182</v>
      </c>
      <c r="L31" s="19">
        <f>B88</f>
        <v>2.2332629415404492E-2</v>
      </c>
      <c r="M31" s="4"/>
    </row>
    <row r="32" spans="1:13" ht="12.95" customHeight="1">
      <c r="A32" s="2" t="s">
        <v>29</v>
      </c>
      <c r="B32" s="133">
        <v>15</v>
      </c>
      <c r="C32" s="6" t="s">
        <v>30</v>
      </c>
      <c r="E32" s="126" t="s">
        <v>254</v>
      </c>
      <c r="F32" s="8">
        <v>3.3</v>
      </c>
      <c r="G32" s="6" t="str">
        <f>IF(F32&lt;3.3,"Too Low", IF(F32&gt;F31, "Too High", "V"))</f>
        <v>V</v>
      </c>
      <c r="J32" s="16" t="s">
        <v>31</v>
      </c>
      <c r="K32" s="98">
        <f>B93</f>
        <v>7.2973091644254516E-4</v>
      </c>
      <c r="L32" s="16"/>
      <c r="M32" s="4"/>
    </row>
    <row r="33" spans="1:13" ht="12.95" customHeight="1">
      <c r="A33" s="2" t="s">
        <v>33</v>
      </c>
      <c r="B33" s="133">
        <v>5</v>
      </c>
      <c r="C33" s="6" t="s">
        <v>23</v>
      </c>
      <c r="E33" s="126"/>
      <c r="J33" s="4"/>
      <c r="K33" s="4"/>
      <c r="L33" s="4"/>
      <c r="M33" s="4"/>
    </row>
    <row r="34" spans="1:13" ht="12.95" customHeight="1">
      <c r="B34" s="134"/>
      <c r="E34" s="126" t="s">
        <v>256</v>
      </c>
      <c r="F34" s="7" t="str">
        <f>IF(F31=3.7, "Open",(0.935*F31-F32)/0.0041)</f>
        <v>Open</v>
      </c>
      <c r="G34" s="6" t="s">
        <v>253</v>
      </c>
      <c r="J34" s="4"/>
      <c r="K34" s="4"/>
      <c r="L34" s="4"/>
      <c r="M34" s="4"/>
    </row>
    <row r="35" spans="1:13" ht="12.95" customHeight="1">
      <c r="A35" s="13" t="s">
        <v>34</v>
      </c>
      <c r="B35" s="135"/>
      <c r="E35" s="126" t="s">
        <v>257</v>
      </c>
      <c r="F35" s="7" t="str">
        <f>IF(F34="Open", "Open", 1.1*F34/(F32-1.1+0.0055*F34))</f>
        <v>Open</v>
      </c>
      <c r="G35" s="6" t="s">
        <v>253</v>
      </c>
      <c r="J35" s="4"/>
      <c r="K35" s="4"/>
      <c r="L35" s="4"/>
      <c r="M35" s="4"/>
    </row>
    <row r="36" spans="1:13" ht="12.95" customHeight="1">
      <c r="A36" s="2" t="s">
        <v>35</v>
      </c>
      <c r="B36" s="128">
        <f>IF(OR(B17="AP63356",B17="AP63357",B17="AP63356Q",B17="AP63357Q"),74*(1+0.005*(F40-25))*(1+74*0.001*Iout^2*Vout/Vin),125*(1+0.005*(F40-25))*(1+125*0.001*Iout^2*Vout/Vin))</f>
        <v>109.54774999999999</v>
      </c>
      <c r="C36" s="6" t="s">
        <v>23</v>
      </c>
      <c r="E36" s="10"/>
      <c r="J36" s="4"/>
      <c r="K36" s="4"/>
      <c r="L36" s="4"/>
      <c r="M36" s="4"/>
    </row>
    <row r="37" spans="1:13" ht="12.95" customHeight="1">
      <c r="B37" s="135"/>
      <c r="E37" s="2" t="s">
        <v>265</v>
      </c>
      <c r="F37" s="121" t="s">
        <v>263</v>
      </c>
      <c r="G37" s="122" t="str">
        <f>IF(F37="Internal","COMP=GND","")</f>
        <v>COMP=GND</v>
      </c>
    </row>
    <row r="38" spans="1:13" ht="12.95" customHeight="1">
      <c r="A38" s="13" t="s">
        <v>36</v>
      </c>
      <c r="B38" s="134"/>
      <c r="E38" s="10"/>
    </row>
    <row r="39" spans="1:13" ht="12.95" customHeight="1">
      <c r="A39" s="2" t="s">
        <v>35</v>
      </c>
      <c r="B39" s="128">
        <f>IF(OR(B17="AP63356",B17="AP63357",B17="AP63356Q",B17="AP63357Q"),40*(1+0.005*(F40-25))*(1+40*0.001*Iout^2*(1-Vout/Vin)),68*(1+0.005*(F40-25))*(1+68*0.001*Iout^2*(1-Vout/Vin)))</f>
        <v>66.819999999999993</v>
      </c>
      <c r="C39" s="6" t="s">
        <v>23</v>
      </c>
      <c r="E39" s="125" t="s">
        <v>270</v>
      </c>
      <c r="F39" s="117">
        <v>25</v>
      </c>
      <c r="G39" s="22" t="s">
        <v>37</v>
      </c>
      <c r="H39" s="144"/>
      <c r="I39" s="144" t="s">
        <v>258</v>
      </c>
      <c r="J39" s="144" t="s">
        <v>263</v>
      </c>
      <c r="K39" s="144">
        <v>2</v>
      </c>
    </row>
    <row r="40" spans="1:13" ht="12.95" customHeight="1">
      <c r="B40" s="134"/>
      <c r="E40" s="21" t="s">
        <v>271</v>
      </c>
      <c r="F40" s="117">
        <v>85</v>
      </c>
      <c r="G40" s="22" t="s">
        <v>38</v>
      </c>
      <c r="H40" s="144"/>
      <c r="I40" s="144" t="s">
        <v>272</v>
      </c>
      <c r="J40" s="144" t="s">
        <v>264</v>
      </c>
      <c r="K40" s="144">
        <v>3.5</v>
      </c>
    </row>
    <row r="41" spans="1:13" ht="12.95" customHeight="1">
      <c r="A41" s="23" t="s">
        <v>39</v>
      </c>
      <c r="B41" s="136">
        <f>Tloss</f>
        <v>1.6939619505196502</v>
      </c>
      <c r="C41" s="24" t="s">
        <v>40</v>
      </c>
      <c r="E41" s="21" t="s">
        <v>282</v>
      </c>
      <c r="F41" s="25">
        <f>+F40+F39*F42</f>
        <v>116.83600211116359</v>
      </c>
      <c r="G41" s="22" t="str">
        <f>IF(F41&gt;H42, "Thermal too high","°C")</f>
        <v>°C</v>
      </c>
      <c r="H41" s="144"/>
      <c r="I41" s="144" t="s">
        <v>259</v>
      </c>
      <c r="J41" s="144"/>
      <c r="K41" s="144"/>
    </row>
    <row r="42" spans="1:13" ht="12.95" customHeight="1">
      <c r="A42" s="23" t="s">
        <v>41</v>
      </c>
      <c r="B42" s="136">
        <f>Efficiency</f>
        <v>89.852846463047555</v>
      </c>
      <c r="C42" s="24" t="s">
        <v>15</v>
      </c>
      <c r="E42" s="2" t="s">
        <v>42</v>
      </c>
      <c r="F42" s="26">
        <f>+K28+L28+K29+L29+L30</f>
        <v>1.2734400844465437</v>
      </c>
      <c r="G42" s="27" t="s">
        <v>43</v>
      </c>
      <c r="H42" s="144">
        <f>IF(OR(B17="AP63206Q",B17="AP63207Q",B17="AP63356Q",B17="AP63357Q"),150,125)</f>
        <v>150</v>
      </c>
      <c r="I42" s="144" t="s">
        <v>273</v>
      </c>
      <c r="J42" s="144"/>
      <c r="K42" s="144"/>
    </row>
    <row r="43" spans="1:13" ht="12.95" customHeight="1" thickBot="1">
      <c r="A43" s="1"/>
      <c r="B43" s="28"/>
      <c r="C43" s="1"/>
      <c r="D43" s="1"/>
      <c r="E43" s="1"/>
      <c r="F43" s="1"/>
      <c r="G43" s="1"/>
      <c r="H43" s="141"/>
      <c r="I43" s="144" t="s">
        <v>260</v>
      </c>
      <c r="J43" s="144"/>
      <c r="K43" s="144"/>
    </row>
    <row r="44" spans="1:13" s="29" customFormat="1" ht="12.95" customHeight="1">
      <c r="A44" s="2"/>
      <c r="B44" s="20"/>
      <c r="C44" s="2"/>
      <c r="D44" s="2"/>
      <c r="E44" s="2"/>
      <c r="F44" s="2"/>
      <c r="G44" s="2"/>
      <c r="H44" s="144"/>
      <c r="I44" s="144" t="s">
        <v>274</v>
      </c>
      <c r="J44" s="144"/>
      <c r="K44" s="144"/>
    </row>
    <row r="45" spans="1:13" s="30" customFormat="1" ht="12.95" customHeight="1">
      <c r="A45" s="151" t="s">
        <v>34</v>
      </c>
      <c r="B45" s="143"/>
      <c r="C45" s="143"/>
      <c r="D45" s="143"/>
      <c r="E45" s="143"/>
      <c r="F45" s="143"/>
      <c r="G45" s="143"/>
      <c r="H45" s="143"/>
      <c r="I45" s="144" t="s">
        <v>261</v>
      </c>
      <c r="J45" s="143"/>
      <c r="K45" s="143"/>
    </row>
    <row r="46" spans="1:13" s="30" customFormat="1" ht="12.95" customHeight="1">
      <c r="A46" s="143" t="s">
        <v>44</v>
      </c>
      <c r="B46" s="152">
        <f>B36</f>
        <v>109.54774999999999</v>
      </c>
      <c r="C46" s="143" t="s">
        <v>23</v>
      </c>
      <c r="D46" s="143"/>
      <c r="E46" s="143"/>
      <c r="F46" s="143"/>
      <c r="G46" s="143"/>
      <c r="H46" s="143"/>
      <c r="I46" s="144" t="s">
        <v>275</v>
      </c>
      <c r="J46" s="143"/>
      <c r="K46" s="143"/>
    </row>
    <row r="47" spans="1:13" s="30" customFormat="1" ht="12.95" customHeight="1">
      <c r="A47" s="143" t="s">
        <v>45</v>
      </c>
      <c r="B47" s="143">
        <v>1.2</v>
      </c>
      <c r="C47" s="143" t="s">
        <v>5</v>
      </c>
      <c r="D47" s="143"/>
      <c r="E47" s="143"/>
      <c r="F47" s="143"/>
      <c r="G47" s="143"/>
      <c r="H47" s="143"/>
      <c r="I47" s="143"/>
      <c r="J47" s="16"/>
    </row>
    <row r="48" spans="1:13" s="30" customFormat="1" ht="12.95" customHeight="1">
      <c r="A48" s="143" t="s">
        <v>46</v>
      </c>
      <c r="B48" s="143">
        <v>0.3</v>
      </c>
      <c r="C48" s="143" t="s">
        <v>47</v>
      </c>
      <c r="D48" s="143"/>
      <c r="E48" s="143"/>
      <c r="F48" s="143"/>
      <c r="G48" s="143"/>
      <c r="H48" s="143"/>
      <c r="I48" s="143"/>
      <c r="J48"/>
    </row>
    <row r="49" spans="1:10" s="30" customFormat="1" ht="12.95" customHeight="1">
      <c r="A49" s="143" t="s">
        <v>48</v>
      </c>
      <c r="B49" s="143">
        <v>0.2</v>
      </c>
      <c r="C49" s="143" t="s">
        <v>47</v>
      </c>
      <c r="D49" s="143"/>
      <c r="E49" s="143"/>
      <c r="F49" s="143"/>
      <c r="G49" s="143"/>
      <c r="H49" s="143"/>
      <c r="I49" s="143"/>
    </row>
    <row r="50" spans="1:10" s="30" customFormat="1" ht="12.95" customHeight="1">
      <c r="A50" s="143" t="s">
        <v>49</v>
      </c>
      <c r="B50" s="153">
        <f>+E50/Ron_u</f>
        <v>0.27385318274451098</v>
      </c>
      <c r="C50" s="143" t="s">
        <v>50</v>
      </c>
      <c r="D50" s="143" t="s">
        <v>51</v>
      </c>
      <c r="E50" s="148">
        <v>30</v>
      </c>
      <c r="F50" s="143" t="s">
        <v>52</v>
      </c>
      <c r="G50" s="143"/>
      <c r="H50" s="143"/>
      <c r="I50" s="143"/>
      <c r="J50" s="16"/>
    </row>
    <row r="51" spans="1:10" s="30" customFormat="1" ht="12.95" customHeight="1">
      <c r="A51" s="143" t="s">
        <v>53</v>
      </c>
      <c r="B51" s="154">
        <f>+E51/Ron_u</f>
        <v>0.18256878849634064</v>
      </c>
      <c r="C51" s="143" t="s">
        <v>50</v>
      </c>
      <c r="D51" s="143" t="s">
        <v>54</v>
      </c>
      <c r="E51" s="148">
        <v>20</v>
      </c>
      <c r="F51" s="143" t="s">
        <v>52</v>
      </c>
      <c r="G51" s="143"/>
      <c r="H51" s="143"/>
      <c r="I51" s="143"/>
      <c r="J51" s="16"/>
    </row>
    <row r="52" spans="1:10" s="30" customFormat="1" ht="12.95" customHeight="1">
      <c r="A52" s="143" t="s">
        <v>55</v>
      </c>
      <c r="B52" s="143">
        <v>15</v>
      </c>
      <c r="C52" s="143" t="s">
        <v>4</v>
      </c>
      <c r="D52" s="143" t="s">
        <v>56</v>
      </c>
      <c r="E52" s="143"/>
      <c r="F52" s="143"/>
      <c r="G52" s="143"/>
      <c r="H52" s="143"/>
      <c r="I52" s="143"/>
      <c r="J52" s="16"/>
    </row>
    <row r="53" spans="1:10" s="30" customFormat="1" ht="12.95" customHeight="1">
      <c r="A53" s="146" t="s">
        <v>57</v>
      </c>
      <c r="B53" s="143">
        <v>12</v>
      </c>
      <c r="C53" s="146" t="s">
        <v>4</v>
      </c>
      <c r="D53" s="143" t="s">
        <v>58</v>
      </c>
      <c r="E53" s="143"/>
      <c r="F53" s="143"/>
      <c r="G53" s="143"/>
      <c r="H53" s="143"/>
      <c r="I53" s="143"/>
      <c r="J53" s="16"/>
    </row>
    <row r="54" spans="1:10" s="32" customFormat="1" ht="12.95" customHeight="1">
      <c r="A54" s="155" t="s">
        <v>59</v>
      </c>
      <c r="B54" s="156">
        <v>1</v>
      </c>
      <c r="C54" s="146"/>
      <c r="D54" s="146" t="s">
        <v>60</v>
      </c>
      <c r="E54" s="146"/>
      <c r="F54" s="146"/>
      <c r="G54" s="146"/>
      <c r="H54" s="146"/>
      <c r="I54" s="146"/>
      <c r="J54" s="31"/>
    </row>
    <row r="55" spans="1:10" s="30" customFormat="1" ht="12.95" customHeight="1">
      <c r="A55" s="143" t="s">
        <v>61</v>
      </c>
      <c r="B55" s="145">
        <f>Iu_rms^2*B46/B54/1000</f>
        <v>0.22494818580444012</v>
      </c>
      <c r="C55" s="143" t="s">
        <v>43</v>
      </c>
      <c r="D55" s="143" t="s">
        <v>62</v>
      </c>
      <c r="E55" s="143"/>
      <c r="F55" s="143"/>
      <c r="G55" s="143"/>
      <c r="H55" s="143"/>
      <c r="I55" s="143"/>
      <c r="J55" s="16"/>
    </row>
    <row r="56" spans="1:10" s="30" customFormat="1" ht="12.95" customHeight="1">
      <c r="A56" s="143" t="s">
        <v>63</v>
      </c>
      <c r="B56" s="145">
        <f>Vin*(Iout-0.5*Irip)*B52*10^(-9)*Fs*10^(3)/2</f>
        <v>0.16720212765957448</v>
      </c>
      <c r="C56" s="143" t="s">
        <v>43</v>
      </c>
      <c r="D56" s="143" t="s">
        <v>64</v>
      </c>
      <c r="E56" s="143"/>
      <c r="F56" s="143"/>
      <c r="G56" s="143"/>
      <c r="H56" s="143"/>
      <c r="I56" s="143"/>
      <c r="J56" s="16"/>
    </row>
    <row r="57" spans="1:10" s="30" customFormat="1" ht="12.95" customHeight="1">
      <c r="A57" s="143" t="s">
        <v>65</v>
      </c>
      <c r="B57" s="145">
        <f>Vin*(Iout+0.5*Irip)*B53*10^(-9)*Fs*10^(3)/2</f>
        <v>0.25503829787234045</v>
      </c>
      <c r="C57" s="143" t="s">
        <v>43</v>
      </c>
      <c r="D57" s="143" t="s">
        <v>66</v>
      </c>
      <c r="E57" s="143"/>
      <c r="F57" s="143"/>
      <c r="G57" s="143"/>
      <c r="H57" s="143"/>
      <c r="I57" s="143"/>
      <c r="J57" s="16"/>
    </row>
    <row r="58" spans="1:10" s="30" customFormat="1" ht="12.95" customHeight="1">
      <c r="A58" s="143" t="s">
        <v>67</v>
      </c>
      <c r="B58" s="145">
        <f>Vin*Fs*10^3*B48*10^(-9)*B54</f>
        <v>3.2400000000000003E-3</v>
      </c>
      <c r="C58" s="143" t="s">
        <v>43</v>
      </c>
      <c r="D58" s="143" t="s">
        <v>68</v>
      </c>
      <c r="E58" s="143"/>
      <c r="F58" s="143"/>
      <c r="G58" s="143"/>
      <c r="H58" s="143"/>
      <c r="I58" s="143"/>
      <c r="J58" s="16"/>
    </row>
    <row r="59" spans="1:10" s="30" customFormat="1" ht="12.95" customHeight="1">
      <c r="A59" s="143" t="s">
        <v>69</v>
      </c>
      <c r="B59" s="145">
        <f>0.5*B51*10^(-9)*Vin^2*Fs*10^3*B54</f>
        <v>2.3660914989125748E-2</v>
      </c>
      <c r="C59" s="143" t="s">
        <v>43</v>
      </c>
      <c r="D59" s="143" t="s">
        <v>70</v>
      </c>
      <c r="E59" s="143"/>
      <c r="F59" s="143"/>
      <c r="G59" s="143"/>
      <c r="H59" s="143"/>
      <c r="I59" s="143"/>
      <c r="J59" s="16"/>
    </row>
    <row r="60" spans="1:10" s="30" customFormat="1" ht="12.95" customHeight="1">
      <c r="A60" s="143" t="s">
        <v>71</v>
      </c>
      <c r="B60" s="145">
        <f>SUM(B55:B59)</f>
        <v>0.6740895263254808</v>
      </c>
      <c r="C60" s="143" t="s">
        <v>43</v>
      </c>
      <c r="D60" s="143" t="s">
        <v>72</v>
      </c>
      <c r="E60" s="143"/>
      <c r="F60" s="143"/>
      <c r="G60" s="143"/>
      <c r="H60" s="143"/>
      <c r="I60" s="143"/>
      <c r="J60" s="19"/>
    </row>
    <row r="61" spans="1:10" s="30" customFormat="1" ht="12.9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6"/>
    </row>
    <row r="62" spans="1:10" s="30" customFormat="1" ht="12.95" customHeight="1">
      <c r="A62" s="151" t="s">
        <v>36</v>
      </c>
      <c r="B62" s="143"/>
      <c r="C62" s="143"/>
      <c r="D62" s="143"/>
      <c r="E62" s="143"/>
      <c r="F62" s="143"/>
      <c r="G62" s="143"/>
      <c r="H62" s="143"/>
      <c r="I62" s="143"/>
      <c r="J62" s="16"/>
    </row>
    <row r="63" spans="1:10" s="30" customFormat="1" ht="12.95" customHeight="1">
      <c r="A63" s="143" t="s">
        <v>44</v>
      </c>
      <c r="B63" s="152">
        <f>B39</f>
        <v>66.819999999999993</v>
      </c>
      <c r="C63" s="143" t="s">
        <v>23</v>
      </c>
      <c r="D63" s="143"/>
      <c r="E63" s="143"/>
      <c r="F63" s="143"/>
      <c r="G63" s="143"/>
      <c r="H63" s="143"/>
      <c r="I63" s="143"/>
      <c r="J63" s="16"/>
    </row>
    <row r="64" spans="1:10" s="30" customFormat="1" ht="12.95" customHeight="1">
      <c r="A64" s="143" t="s">
        <v>45</v>
      </c>
      <c r="B64" s="143">
        <v>1.2</v>
      </c>
      <c r="C64" s="143" t="s">
        <v>5</v>
      </c>
      <c r="D64" s="143"/>
      <c r="E64" s="143"/>
      <c r="F64" s="143"/>
      <c r="G64" s="143"/>
      <c r="H64" s="143"/>
      <c r="I64" s="143"/>
      <c r="J64" s="16"/>
    </row>
    <row r="65" spans="1:10" s="30" customFormat="1" ht="12.95" customHeight="1">
      <c r="A65" s="143" t="s">
        <v>46</v>
      </c>
      <c r="B65" s="143">
        <v>0.3</v>
      </c>
      <c r="C65" s="143" t="s">
        <v>47</v>
      </c>
      <c r="D65" s="143"/>
      <c r="E65" s="143"/>
      <c r="F65" s="143"/>
      <c r="G65" s="143"/>
      <c r="H65" s="143"/>
      <c r="I65" s="143"/>
      <c r="J65" s="16"/>
    </row>
    <row r="66" spans="1:10" s="30" customFormat="1" ht="12.95" customHeight="1">
      <c r="A66" s="143" t="s">
        <v>48</v>
      </c>
      <c r="B66" s="143">
        <v>0.2</v>
      </c>
      <c r="C66" s="143" t="s">
        <v>47</v>
      </c>
      <c r="D66" s="143"/>
      <c r="E66" s="143"/>
      <c r="F66" s="143"/>
      <c r="G66" s="143"/>
      <c r="H66" s="143"/>
      <c r="I66" s="143"/>
      <c r="J66" s="16"/>
    </row>
    <row r="67" spans="1:10" s="30" customFormat="1" ht="12.95" customHeight="1">
      <c r="A67" s="143" t="s">
        <v>49</v>
      </c>
      <c r="B67" s="157">
        <f>+E67/Ron_l</f>
        <v>0.44896737503741402</v>
      </c>
      <c r="C67" s="143" t="s">
        <v>50</v>
      </c>
      <c r="D67" s="143" t="s">
        <v>51</v>
      </c>
      <c r="E67" s="148">
        <v>30</v>
      </c>
      <c r="F67" s="143" t="s">
        <v>52</v>
      </c>
      <c r="G67" s="143"/>
      <c r="H67" s="143"/>
      <c r="I67" s="143"/>
      <c r="J67" s="16"/>
    </row>
    <row r="68" spans="1:10" s="30" customFormat="1" ht="12.95" customHeight="1">
      <c r="A68" s="143" t="s">
        <v>53</v>
      </c>
      <c r="B68" s="154">
        <f>+E68/Ron_l</f>
        <v>0.29931158335827601</v>
      </c>
      <c r="C68" s="143" t="s">
        <v>50</v>
      </c>
      <c r="D68" s="143" t="s">
        <v>54</v>
      </c>
      <c r="E68" s="148">
        <v>20</v>
      </c>
      <c r="F68" s="143" t="s">
        <v>52</v>
      </c>
      <c r="G68" s="143"/>
      <c r="H68" s="143"/>
      <c r="I68" s="143"/>
      <c r="J68" s="16"/>
    </row>
    <row r="69" spans="1:10" s="30" customFormat="1" ht="12.95" customHeight="1">
      <c r="A69" s="143" t="s">
        <v>73</v>
      </c>
      <c r="B69" s="143">
        <v>20.2</v>
      </c>
      <c r="C69" s="143" t="s">
        <v>4</v>
      </c>
      <c r="D69" s="143" t="s">
        <v>74</v>
      </c>
      <c r="E69" s="143"/>
      <c r="F69" s="143"/>
      <c r="G69" s="143"/>
      <c r="H69" s="143"/>
      <c r="I69" s="143"/>
      <c r="J69" s="16"/>
    </row>
    <row r="70" spans="1:10" s="30" customFormat="1" ht="12.95" customHeight="1">
      <c r="A70" s="146" t="s">
        <v>75</v>
      </c>
      <c r="B70" s="146">
        <v>28.2</v>
      </c>
      <c r="C70" s="146" t="s">
        <v>4</v>
      </c>
      <c r="D70" s="143" t="s">
        <v>76</v>
      </c>
      <c r="E70" s="143"/>
      <c r="F70" s="143"/>
      <c r="G70" s="143"/>
      <c r="H70" s="143"/>
      <c r="I70" s="143"/>
      <c r="J70" s="16"/>
    </row>
    <row r="71" spans="1:10" s="32" customFormat="1" ht="12.95" customHeight="1">
      <c r="A71" s="146" t="s">
        <v>59</v>
      </c>
      <c r="B71" s="156">
        <v>1</v>
      </c>
      <c r="C71" s="146"/>
      <c r="D71" s="146" t="s">
        <v>77</v>
      </c>
      <c r="E71" s="146"/>
      <c r="F71" s="146"/>
      <c r="G71" s="146"/>
      <c r="H71" s="146"/>
      <c r="I71" s="146"/>
      <c r="J71" s="31"/>
    </row>
    <row r="72" spans="1:10" s="30" customFormat="1" ht="12.95" customHeight="1">
      <c r="A72" s="143" t="s">
        <v>61</v>
      </c>
      <c r="B72" s="145">
        <f>Il_rms^2*B63/1000/B71</f>
        <v>0.48367433010931976</v>
      </c>
      <c r="C72" s="143" t="s">
        <v>43</v>
      </c>
      <c r="D72" s="143" t="s">
        <v>78</v>
      </c>
      <c r="E72" s="143"/>
      <c r="F72" s="143"/>
      <c r="G72" s="143"/>
      <c r="H72" s="143"/>
      <c r="I72" s="143"/>
      <c r="J72" s="16"/>
    </row>
    <row r="73" spans="1:10" s="30" customFormat="1" ht="12.75" customHeight="1">
      <c r="A73" s="143" t="s">
        <v>67</v>
      </c>
      <c r="B73" s="145">
        <f>B64*Fs*10^(-6)*((Iout+0.5*Irip)*B69+(Iout-0.5*Irip)*B70)</f>
        <v>7.4365446808510649E-2</v>
      </c>
      <c r="C73" s="143" t="s">
        <v>43</v>
      </c>
      <c r="D73" s="143" t="s">
        <v>79</v>
      </c>
      <c r="E73" s="143"/>
      <c r="F73" s="143"/>
      <c r="G73" s="143"/>
      <c r="H73" s="143"/>
      <c r="I73" s="143"/>
      <c r="J73" s="16"/>
    </row>
    <row r="74" spans="1:10" s="30" customFormat="1" ht="12.95" customHeight="1">
      <c r="A74" s="143" t="s">
        <v>80</v>
      </c>
      <c r="B74" s="145">
        <f>0.5*B65*Vin* Fs*10^(-6)*B71</f>
        <v>1.6199999999999997E-3</v>
      </c>
      <c r="C74" s="143" t="s">
        <v>43</v>
      </c>
      <c r="D74" s="143" t="s">
        <v>243</v>
      </c>
      <c r="E74" s="143"/>
      <c r="F74" s="143"/>
      <c r="G74" s="143"/>
      <c r="H74" s="143"/>
      <c r="I74" s="143"/>
      <c r="J74" s="16"/>
    </row>
    <row r="75" spans="1:10" s="30" customFormat="1" ht="12.95" customHeight="1">
      <c r="A75" s="143" t="s">
        <v>69</v>
      </c>
      <c r="B75" s="145">
        <f>B68*10^(-9)*B71*Vin^2*Fs*1000/2</f>
        <v>3.8790781203232566E-2</v>
      </c>
      <c r="C75" s="143" t="s">
        <v>43</v>
      </c>
      <c r="D75" s="143" t="s">
        <v>70</v>
      </c>
      <c r="E75" s="143"/>
      <c r="F75" s="143"/>
      <c r="G75" s="143"/>
      <c r="H75" s="143"/>
      <c r="I75" s="143"/>
      <c r="J75" s="16"/>
    </row>
    <row r="76" spans="1:10" s="30" customFormat="1" ht="12.95" customHeight="1">
      <c r="A76" s="143" t="s">
        <v>81</v>
      </c>
      <c r="B76" s="145">
        <f>B72+B73+B74+B75</f>
        <v>0.59845055812106296</v>
      </c>
      <c r="C76" s="143" t="s">
        <v>43</v>
      </c>
      <c r="D76" s="143" t="s">
        <v>82</v>
      </c>
      <c r="E76" s="143"/>
      <c r="F76" s="143"/>
      <c r="G76" s="143"/>
      <c r="H76" s="143"/>
      <c r="I76" s="143"/>
      <c r="J76" s="16"/>
    </row>
    <row r="77" spans="1:10" s="30" customFormat="1" ht="12.9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6"/>
    </row>
    <row r="78" spans="1:10" s="30" customFormat="1" ht="12.95" customHeight="1">
      <c r="A78" s="158" t="s">
        <v>83</v>
      </c>
      <c r="B78" s="143"/>
      <c r="C78" s="143"/>
      <c r="D78" s="143"/>
      <c r="E78" s="143"/>
      <c r="F78" s="143"/>
      <c r="G78" s="143"/>
      <c r="H78" s="143"/>
      <c r="I78" s="143"/>
      <c r="J78" s="16"/>
    </row>
    <row r="79" spans="1:10" s="30" customFormat="1" ht="12.95" customHeight="1">
      <c r="A79" s="143" t="s">
        <v>84</v>
      </c>
      <c r="B79" s="143">
        <f>IF(Vin&lt;5.7, Vin, 5)</f>
        <v>5</v>
      </c>
      <c r="C79" s="143" t="s">
        <v>5</v>
      </c>
      <c r="D79" s="143"/>
      <c r="E79" s="143"/>
      <c r="F79" s="143"/>
      <c r="G79" s="143"/>
      <c r="H79" s="143"/>
      <c r="I79" s="143"/>
      <c r="J79" s="16"/>
    </row>
    <row r="80" spans="1:10" s="32" customFormat="1" ht="12.95" customHeight="1">
      <c r="A80" s="146" t="s">
        <v>85</v>
      </c>
      <c r="B80" s="143">
        <f>IF(Vin&lt;5.7, Vin, 5)</f>
        <v>5</v>
      </c>
      <c r="C80" s="146" t="s">
        <v>5</v>
      </c>
      <c r="D80" s="146"/>
      <c r="E80" s="146"/>
      <c r="F80" s="146"/>
      <c r="G80" s="146"/>
      <c r="H80" s="146"/>
      <c r="I80" s="146"/>
      <c r="J80" s="31"/>
    </row>
    <row r="81" spans="1:10" s="32" customFormat="1" ht="12.95" customHeight="1">
      <c r="A81" s="146" t="s">
        <v>86</v>
      </c>
      <c r="B81" s="146">
        <v>6</v>
      </c>
      <c r="C81" s="146" t="s">
        <v>87</v>
      </c>
      <c r="D81" s="146" t="s">
        <v>88</v>
      </c>
      <c r="E81" s="146"/>
      <c r="F81" s="146"/>
      <c r="G81" s="146"/>
      <c r="H81" s="146"/>
      <c r="I81" s="146"/>
      <c r="J81" s="31"/>
    </row>
    <row r="82" spans="1:10" s="30" customFormat="1" ht="12.95" customHeight="1">
      <c r="A82" s="143" t="s">
        <v>89</v>
      </c>
      <c r="B82" s="145">
        <f>Fs*B79*B49*10^(-6)*B54</f>
        <v>4.4999999999999999E-4</v>
      </c>
      <c r="C82" s="143" t="s">
        <v>43</v>
      </c>
      <c r="D82" s="143" t="s">
        <v>90</v>
      </c>
      <c r="E82" s="143"/>
      <c r="F82" s="143"/>
      <c r="G82" s="143"/>
      <c r="H82" s="143"/>
      <c r="I82" s="143"/>
      <c r="J82" s="16"/>
    </row>
    <row r="83" spans="1:10" s="30" customFormat="1" ht="12.95" customHeight="1">
      <c r="A83" s="143" t="s">
        <v>91</v>
      </c>
      <c r="B83" s="145">
        <f>Fs*B80*B66*10^(-6)*B71</f>
        <v>4.4999999999999999E-4</v>
      </c>
      <c r="C83" s="143" t="s">
        <v>43</v>
      </c>
      <c r="D83" s="143" t="s">
        <v>92</v>
      </c>
      <c r="E83" s="143"/>
      <c r="F83" s="143"/>
      <c r="G83" s="143"/>
      <c r="H83" s="143"/>
      <c r="I83" s="143"/>
      <c r="J83" s="16"/>
    </row>
    <row r="84" spans="1:10" s="30" customFormat="1" ht="12.95" customHeight="1">
      <c r="A84" s="159" t="s">
        <v>93</v>
      </c>
      <c r="B84" s="160">
        <f>+(Vin-B80)*B81/1000</f>
        <v>0.114</v>
      </c>
      <c r="C84" s="159" t="s">
        <v>43</v>
      </c>
      <c r="D84" s="159" t="s">
        <v>94</v>
      </c>
      <c r="E84" s="159"/>
      <c r="F84" s="143"/>
      <c r="G84" s="143"/>
      <c r="H84" s="143"/>
      <c r="I84" s="143"/>
      <c r="J84" s="16"/>
    </row>
    <row r="85" spans="1:10" s="30" customFormat="1" ht="12.95" customHeight="1">
      <c r="A85" s="143" t="s">
        <v>95</v>
      </c>
      <c r="B85" s="145">
        <f>B82+B83+B84+B81*B80*0.001</f>
        <v>0.1449</v>
      </c>
      <c r="C85" s="143" t="s">
        <v>43</v>
      </c>
      <c r="D85" s="143" t="s">
        <v>96</v>
      </c>
      <c r="E85" s="143"/>
      <c r="F85" s="143"/>
      <c r="G85" s="143"/>
      <c r="H85" s="143"/>
      <c r="I85" s="143"/>
      <c r="J85" s="16"/>
    </row>
    <row r="86" spans="1:10" s="30" customFormat="1" ht="12.9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6"/>
    </row>
    <row r="87" spans="1:10" s="30" customFormat="1" ht="12.95" customHeight="1">
      <c r="A87" s="158" t="s">
        <v>97</v>
      </c>
      <c r="B87" s="143"/>
      <c r="C87" s="143"/>
      <c r="D87" s="143"/>
      <c r="E87" s="143"/>
      <c r="F87" s="143"/>
      <c r="G87" s="143"/>
      <c r="H87" s="143"/>
      <c r="I87" s="143"/>
      <c r="J87" s="16"/>
    </row>
    <row r="88" spans="1:10" s="30" customFormat="1" ht="12.95" customHeight="1">
      <c r="A88" s="143" t="s">
        <v>98</v>
      </c>
      <c r="B88" s="145">
        <f>0.7*10^(-9)*(Fs)^1.35*(57.8*0.5*Irip)^2.263</f>
        <v>2.2332629415404492E-2</v>
      </c>
      <c r="C88" s="143" t="s">
        <v>43</v>
      </c>
      <c r="D88" s="143" t="s">
        <v>99</v>
      </c>
      <c r="E88" s="143"/>
      <c r="F88" s="143"/>
      <c r="G88" s="143"/>
      <c r="H88" s="143"/>
      <c r="I88" s="143"/>
      <c r="J88" s="16"/>
    </row>
    <row r="89" spans="1:10" s="30" customFormat="1" ht="12.95" customHeight="1">
      <c r="A89" s="143" t="s">
        <v>100</v>
      </c>
      <c r="B89" s="145">
        <f>DCR/1000*(Iout*SQRT(1+1/3*(Irip/Iout)^2))^2</f>
        <v>0.25418923665770182</v>
      </c>
      <c r="C89" s="143" t="s">
        <v>43</v>
      </c>
      <c r="D89" s="143" t="s">
        <v>101</v>
      </c>
      <c r="E89" s="143"/>
      <c r="F89" s="143"/>
      <c r="G89" s="143"/>
      <c r="H89" s="143"/>
      <c r="I89" s="143"/>
      <c r="J89" s="16"/>
    </row>
    <row r="90" spans="1:10" s="30" customFormat="1" ht="12.95" customHeight="1">
      <c r="A90" s="143" t="s">
        <v>102</v>
      </c>
      <c r="B90" s="145">
        <f>B88+B89</f>
        <v>0.2765218660731063</v>
      </c>
      <c r="C90" s="143" t="s">
        <v>43</v>
      </c>
      <c r="D90" s="143" t="s">
        <v>103</v>
      </c>
      <c r="E90" s="143"/>
      <c r="F90" s="143"/>
      <c r="G90" s="143"/>
      <c r="H90" s="143"/>
      <c r="I90" s="143"/>
      <c r="J90" s="16"/>
    </row>
    <row r="91" spans="1:10" s="30" customFormat="1" ht="12.95" customHeight="1">
      <c r="A91" s="143"/>
      <c r="B91" s="145"/>
      <c r="C91" s="143"/>
      <c r="D91" s="143"/>
      <c r="E91" s="143"/>
      <c r="F91" s="143"/>
      <c r="G91" s="143"/>
      <c r="H91" s="143"/>
      <c r="I91" s="143"/>
      <c r="J91" s="16"/>
    </row>
    <row r="92" spans="1:10" s="30" customFormat="1" ht="12.95" customHeight="1">
      <c r="A92" s="158" t="s">
        <v>104</v>
      </c>
      <c r="B92" s="143"/>
      <c r="C92" s="143"/>
      <c r="D92" s="143"/>
      <c r="E92" s="143"/>
      <c r="F92" s="143"/>
      <c r="G92" s="143"/>
      <c r="H92" s="143"/>
      <c r="I92" s="143"/>
      <c r="J92" s="16"/>
    </row>
    <row r="93" spans="1:10" s="30" customFormat="1" ht="12.95" customHeight="1">
      <c r="A93" s="143" t="s">
        <v>105</v>
      </c>
      <c r="B93" s="161">
        <f>(0.5*Irip/SQRT(3))^2*B33/B31/1000</f>
        <v>7.2973091644254516E-4</v>
      </c>
      <c r="C93" s="143" t="s">
        <v>43</v>
      </c>
      <c r="D93" s="143" t="s">
        <v>106</v>
      </c>
      <c r="E93" s="143"/>
      <c r="F93" s="143"/>
      <c r="G93" s="143"/>
      <c r="H93" s="143"/>
      <c r="I93" s="143"/>
      <c r="J93" s="16"/>
    </row>
    <row r="94" spans="1:10" s="30" customFormat="1" ht="12.9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6"/>
    </row>
    <row r="95" spans="1:10" s="30" customFormat="1" ht="12.95" customHeight="1">
      <c r="A95" s="151" t="s">
        <v>39</v>
      </c>
      <c r="B95" s="162">
        <f>B85+B76+B60+B90</f>
        <v>1.6939619505196502</v>
      </c>
      <c r="C95" s="158" t="s">
        <v>43</v>
      </c>
      <c r="D95" s="143"/>
      <c r="E95" s="143"/>
      <c r="F95" s="143"/>
      <c r="G95" s="143"/>
      <c r="H95" s="143"/>
      <c r="I95" s="143"/>
      <c r="J95" s="16"/>
    </row>
    <row r="96" spans="1:10" s="30" customFormat="1" ht="12.95" customHeight="1">
      <c r="A96" s="151" t="s">
        <v>41</v>
      </c>
      <c r="B96" s="162">
        <f>Vout*Iout/(Vout*Iout+B95)*100</f>
        <v>89.852846463047555</v>
      </c>
      <c r="C96" s="158" t="s">
        <v>15</v>
      </c>
      <c r="D96" s="143"/>
      <c r="E96" s="143"/>
      <c r="F96" s="143"/>
      <c r="G96" s="143"/>
      <c r="H96" s="143"/>
      <c r="I96" s="143"/>
      <c r="J96" s="16"/>
    </row>
    <row r="97" spans="1:10" s="29" customFormat="1" ht="12.95" customHeight="1">
      <c r="A97" s="4"/>
      <c r="B97" s="4"/>
      <c r="C97" s="4"/>
      <c r="D97" s="4"/>
      <c r="E97" s="4"/>
      <c r="F97" s="4"/>
      <c r="G97" s="4"/>
      <c r="H97" s="17"/>
      <c r="I97" s="17"/>
      <c r="J97" s="17"/>
    </row>
    <row r="98" spans="1:10" ht="12.95" customHeight="1">
      <c r="A98" s="4"/>
      <c r="B98" s="4"/>
      <c r="C98" s="4"/>
      <c r="D98" s="4"/>
      <c r="E98" s="4"/>
      <c r="F98" s="4"/>
      <c r="G98" s="4"/>
      <c r="H98" s="17"/>
      <c r="I98" s="17"/>
      <c r="J98" s="17"/>
    </row>
    <row r="99" spans="1:10" ht="12.95" customHeight="1">
      <c r="A99" s="4"/>
      <c r="B99" s="4"/>
      <c r="C99" s="4"/>
      <c r="D99" s="4"/>
      <c r="E99" s="4"/>
      <c r="F99" s="4"/>
      <c r="G99" s="4"/>
      <c r="H99" s="17"/>
      <c r="I99" s="17"/>
      <c r="J99" s="17"/>
    </row>
    <row r="100" spans="1:10" ht="12.95" customHeight="1">
      <c r="A100" s="4"/>
      <c r="B100" s="33"/>
      <c r="C100" s="4"/>
      <c r="D100" s="4"/>
      <c r="E100" s="4"/>
      <c r="F100" s="4"/>
      <c r="G100" s="4"/>
      <c r="H100" s="17"/>
      <c r="I100" s="17"/>
      <c r="J100" s="17"/>
    </row>
    <row r="101" spans="1:10" ht="12.95" customHeight="1">
      <c r="A101" s="4"/>
      <c r="B101" s="4"/>
      <c r="C101" s="4"/>
      <c r="D101" s="4"/>
      <c r="E101" s="4"/>
      <c r="F101" s="4"/>
      <c r="G101" s="4"/>
      <c r="H101" s="17"/>
      <c r="I101" s="17"/>
      <c r="J101" s="17"/>
    </row>
    <row r="102" spans="1:10" ht="12.95" customHeight="1">
      <c r="A102" s="4"/>
      <c r="B102" s="4"/>
      <c r="C102" s="4"/>
      <c r="D102" s="4"/>
      <c r="E102" s="4"/>
      <c r="F102" s="4"/>
      <c r="G102" s="4"/>
      <c r="H102" s="17"/>
      <c r="I102" s="17"/>
      <c r="J102" s="17"/>
    </row>
    <row r="103" spans="1:10" ht="12.95" customHeight="1">
      <c r="A103" s="4"/>
      <c r="B103" s="4"/>
      <c r="C103" s="4"/>
      <c r="D103" s="4"/>
      <c r="E103" s="4"/>
      <c r="F103" s="4"/>
      <c r="G103" s="4"/>
      <c r="H103" s="17"/>
      <c r="I103" s="17"/>
      <c r="J103" s="17"/>
    </row>
    <row r="104" spans="1:10" ht="12.95" customHeight="1">
      <c r="A104" s="4"/>
      <c r="B104" s="4"/>
      <c r="C104" s="4"/>
      <c r="D104" s="4"/>
      <c r="E104" s="4"/>
      <c r="F104" s="4"/>
      <c r="G104" s="4"/>
      <c r="H104" s="17"/>
      <c r="I104" s="17"/>
      <c r="J104" s="17"/>
    </row>
    <row r="105" spans="1:10" ht="12.95" customHeight="1">
      <c r="A105" s="4"/>
      <c r="B105" s="4"/>
      <c r="C105" s="4"/>
      <c r="D105" s="4"/>
      <c r="E105" s="4"/>
      <c r="F105" s="4"/>
      <c r="G105" s="4"/>
      <c r="H105" s="17"/>
      <c r="I105" s="17"/>
      <c r="J105" s="17"/>
    </row>
    <row r="106" spans="1:10" ht="12.95" customHeight="1">
      <c r="A106" s="4"/>
      <c r="B106" s="4"/>
      <c r="C106" s="4"/>
      <c r="D106" s="4"/>
      <c r="E106" s="4"/>
      <c r="F106" s="4"/>
      <c r="G106" s="4"/>
      <c r="H106" s="17"/>
    </row>
    <row r="107" spans="1:10" ht="12.95" customHeight="1">
      <c r="A107" s="4"/>
      <c r="B107" s="4"/>
      <c r="C107" s="4"/>
      <c r="D107" s="4"/>
      <c r="E107" s="4"/>
      <c r="F107" s="4"/>
      <c r="G107" s="4"/>
    </row>
    <row r="108" spans="1:10" ht="12.95" customHeight="1">
      <c r="A108" s="4"/>
      <c r="B108" s="4"/>
      <c r="C108" s="4"/>
      <c r="D108" s="4"/>
      <c r="E108" s="4"/>
      <c r="F108" s="4"/>
      <c r="G108" s="4"/>
    </row>
    <row r="109" spans="1:10" ht="12.95" customHeight="1">
      <c r="A109" s="4"/>
      <c r="B109" s="4"/>
      <c r="C109" s="4"/>
      <c r="D109" s="4"/>
      <c r="E109" s="4"/>
      <c r="F109" s="4"/>
      <c r="G109" s="4"/>
    </row>
    <row r="110" spans="1:10" ht="12.95" customHeight="1">
      <c r="A110" s="4"/>
      <c r="B110" s="4"/>
      <c r="C110" s="4"/>
      <c r="D110" s="4"/>
      <c r="E110" s="4"/>
      <c r="F110" s="4"/>
      <c r="G110" s="4"/>
    </row>
    <row r="111" spans="1:10" ht="12.95" customHeight="1">
      <c r="A111" s="4"/>
      <c r="B111" s="4"/>
      <c r="C111" s="4"/>
      <c r="D111" s="4"/>
      <c r="E111" s="4"/>
      <c r="F111" s="4"/>
      <c r="G111" s="4"/>
    </row>
    <row r="112" spans="1:10" ht="12.95" customHeight="1">
      <c r="A112" s="4"/>
      <c r="B112" s="4"/>
      <c r="C112" s="4"/>
      <c r="D112" s="4"/>
      <c r="E112" s="4"/>
      <c r="F112" s="4"/>
      <c r="G112" s="4"/>
    </row>
    <row r="113" spans="1:7" ht="12.95" customHeight="1">
      <c r="A113" s="4"/>
      <c r="B113" s="4"/>
      <c r="C113" s="4"/>
      <c r="D113" s="4"/>
      <c r="E113" s="4"/>
      <c r="F113" s="4"/>
      <c r="G113" s="4"/>
    </row>
    <row r="114" spans="1:7" ht="12.95" customHeight="1">
      <c r="A114" s="4"/>
      <c r="B114" s="4"/>
      <c r="C114" s="4"/>
      <c r="D114" s="4"/>
      <c r="E114" s="4"/>
      <c r="F114" s="4"/>
      <c r="G114" s="4"/>
    </row>
    <row r="115" spans="1:7" ht="12.95" customHeight="1">
      <c r="A115" s="4"/>
      <c r="B115" s="4"/>
      <c r="C115" s="4"/>
      <c r="D115" s="4"/>
      <c r="E115" s="4"/>
      <c r="F115" s="4"/>
      <c r="G115" s="4"/>
    </row>
    <row r="116" spans="1:7" ht="12.95" customHeight="1">
      <c r="A116" s="4"/>
      <c r="B116" s="4"/>
      <c r="C116" s="4"/>
      <c r="D116" s="4"/>
      <c r="E116" s="4"/>
      <c r="F116" s="4"/>
      <c r="G116" s="4"/>
    </row>
    <row r="117" spans="1:7" ht="12.95" customHeight="1"/>
    <row r="118" spans="1:7" ht="12.95" customHeight="1"/>
  </sheetData>
  <sheetProtection password="C6F9" sheet="1" objects="1" scenarios="1" selectLockedCells="1"/>
  <conditionalFormatting sqref="A20">
    <cfRule type="containsText" dxfId="3" priority="2" operator="containsText" text="Out of Range">
      <formula>NOT(ISERROR(SEARCH("Out of Range",A20)))</formula>
    </cfRule>
  </conditionalFormatting>
  <conditionalFormatting sqref="A19">
    <cfRule type="containsText" dxfId="2" priority="1" operator="containsText" text="Out of Range">
      <formula>NOT(ISERROR(SEARCH("Out of Range",A19)))</formula>
    </cfRule>
  </conditionalFormatting>
  <dataValidations count="2">
    <dataValidation type="list" allowBlank="1" showInputMessage="1" showErrorMessage="1" sqref="B17">
      <formula1>$I$43:$I$46</formula1>
    </dataValidation>
    <dataValidation type="list" allowBlank="1" showInputMessage="1" showErrorMessage="1" sqref="F37">
      <formula1>$J$39:$J$40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28" r:id="rId4">
          <objectPr defaultSize="0" autoPict="0" r:id="rId5">
            <anchor moveWithCells="1">
              <from>
                <xdr:col>7</xdr:col>
                <xdr:colOff>257175</xdr:colOff>
                <xdr:row>17</xdr:row>
                <xdr:rowOff>28575</xdr:rowOff>
              </from>
              <to>
                <xdr:col>18</xdr:col>
                <xdr:colOff>38100</xdr:colOff>
                <xdr:row>37</xdr:row>
                <xdr:rowOff>38100</xdr:rowOff>
              </to>
            </anchor>
          </objectPr>
        </oleObject>
      </mc:Choice>
      <mc:Fallback>
        <oleObject progId="Visio.Drawing.11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topLeftCell="A7" workbookViewId="0">
      <selection activeCell="B10" sqref="B10"/>
    </sheetView>
  </sheetViews>
  <sheetFormatPr defaultRowHeight="12.95" customHeight="1"/>
  <cols>
    <col min="1" max="1" width="15.7109375" style="2" customWidth="1"/>
    <col min="2" max="2" width="17.140625" style="2" customWidth="1"/>
    <col min="3" max="3" width="11.85546875" style="2" customWidth="1"/>
    <col min="4" max="4" width="19.85546875" style="2" customWidth="1"/>
    <col min="5" max="5" width="12.140625" style="2" customWidth="1"/>
    <col min="6" max="6" width="10.7109375" style="2" customWidth="1"/>
    <col min="7" max="7" width="27.140625" style="2" customWidth="1"/>
    <col min="8" max="8" width="23.7109375" style="2" customWidth="1"/>
    <col min="9" max="13" width="9.28515625" style="2" bestFit="1" customWidth="1"/>
    <col min="14" max="15" width="12.28515625" style="2" bestFit="1" customWidth="1"/>
    <col min="16" max="17" width="9.28515625" style="2" bestFit="1" customWidth="1"/>
    <col min="18" max="256" width="9.140625" style="2"/>
    <col min="257" max="257" width="15.7109375" style="2" customWidth="1"/>
    <col min="258" max="258" width="17.140625" style="2" customWidth="1"/>
    <col min="259" max="259" width="11.85546875" style="2" customWidth="1"/>
    <col min="260" max="260" width="11" style="2" customWidth="1"/>
    <col min="261" max="261" width="24.7109375" style="2" customWidth="1"/>
    <col min="262" max="262" width="10.7109375" style="2" customWidth="1"/>
    <col min="263" max="263" width="27.140625" style="2" customWidth="1"/>
    <col min="264" max="264" width="23.7109375" style="2" customWidth="1"/>
    <col min="265" max="512" width="9.140625" style="2"/>
    <col min="513" max="513" width="15.7109375" style="2" customWidth="1"/>
    <col min="514" max="514" width="17.140625" style="2" customWidth="1"/>
    <col min="515" max="515" width="11.85546875" style="2" customWidth="1"/>
    <col min="516" max="516" width="11" style="2" customWidth="1"/>
    <col min="517" max="517" width="24.7109375" style="2" customWidth="1"/>
    <col min="518" max="518" width="10.7109375" style="2" customWidth="1"/>
    <col min="519" max="519" width="27.140625" style="2" customWidth="1"/>
    <col min="520" max="520" width="23.7109375" style="2" customWidth="1"/>
    <col min="521" max="768" width="9.140625" style="2"/>
    <col min="769" max="769" width="15.7109375" style="2" customWidth="1"/>
    <col min="770" max="770" width="17.140625" style="2" customWidth="1"/>
    <col min="771" max="771" width="11.85546875" style="2" customWidth="1"/>
    <col min="772" max="772" width="11" style="2" customWidth="1"/>
    <col min="773" max="773" width="24.7109375" style="2" customWidth="1"/>
    <col min="774" max="774" width="10.7109375" style="2" customWidth="1"/>
    <col min="775" max="775" width="27.140625" style="2" customWidth="1"/>
    <col min="776" max="776" width="23.7109375" style="2" customWidth="1"/>
    <col min="777" max="1024" width="9.140625" style="2"/>
    <col min="1025" max="1025" width="15.7109375" style="2" customWidth="1"/>
    <col min="1026" max="1026" width="17.140625" style="2" customWidth="1"/>
    <col min="1027" max="1027" width="11.85546875" style="2" customWidth="1"/>
    <col min="1028" max="1028" width="11" style="2" customWidth="1"/>
    <col min="1029" max="1029" width="24.7109375" style="2" customWidth="1"/>
    <col min="1030" max="1030" width="10.7109375" style="2" customWidth="1"/>
    <col min="1031" max="1031" width="27.140625" style="2" customWidth="1"/>
    <col min="1032" max="1032" width="23.7109375" style="2" customWidth="1"/>
    <col min="1033" max="1280" width="9.140625" style="2"/>
    <col min="1281" max="1281" width="15.7109375" style="2" customWidth="1"/>
    <col min="1282" max="1282" width="17.140625" style="2" customWidth="1"/>
    <col min="1283" max="1283" width="11.85546875" style="2" customWidth="1"/>
    <col min="1284" max="1284" width="11" style="2" customWidth="1"/>
    <col min="1285" max="1285" width="24.7109375" style="2" customWidth="1"/>
    <col min="1286" max="1286" width="10.7109375" style="2" customWidth="1"/>
    <col min="1287" max="1287" width="27.140625" style="2" customWidth="1"/>
    <col min="1288" max="1288" width="23.7109375" style="2" customWidth="1"/>
    <col min="1289" max="1536" width="9.140625" style="2"/>
    <col min="1537" max="1537" width="15.7109375" style="2" customWidth="1"/>
    <col min="1538" max="1538" width="17.140625" style="2" customWidth="1"/>
    <col min="1539" max="1539" width="11.85546875" style="2" customWidth="1"/>
    <col min="1540" max="1540" width="11" style="2" customWidth="1"/>
    <col min="1541" max="1541" width="24.7109375" style="2" customWidth="1"/>
    <col min="1542" max="1542" width="10.7109375" style="2" customWidth="1"/>
    <col min="1543" max="1543" width="27.140625" style="2" customWidth="1"/>
    <col min="1544" max="1544" width="23.7109375" style="2" customWidth="1"/>
    <col min="1545" max="1792" width="9.140625" style="2"/>
    <col min="1793" max="1793" width="15.7109375" style="2" customWidth="1"/>
    <col min="1794" max="1794" width="17.140625" style="2" customWidth="1"/>
    <col min="1795" max="1795" width="11.85546875" style="2" customWidth="1"/>
    <col min="1796" max="1796" width="11" style="2" customWidth="1"/>
    <col min="1797" max="1797" width="24.7109375" style="2" customWidth="1"/>
    <col min="1798" max="1798" width="10.7109375" style="2" customWidth="1"/>
    <col min="1799" max="1799" width="27.140625" style="2" customWidth="1"/>
    <col min="1800" max="1800" width="23.7109375" style="2" customWidth="1"/>
    <col min="1801" max="2048" width="9.140625" style="2"/>
    <col min="2049" max="2049" width="15.7109375" style="2" customWidth="1"/>
    <col min="2050" max="2050" width="17.140625" style="2" customWidth="1"/>
    <col min="2051" max="2051" width="11.85546875" style="2" customWidth="1"/>
    <col min="2052" max="2052" width="11" style="2" customWidth="1"/>
    <col min="2053" max="2053" width="24.7109375" style="2" customWidth="1"/>
    <col min="2054" max="2054" width="10.7109375" style="2" customWidth="1"/>
    <col min="2055" max="2055" width="27.140625" style="2" customWidth="1"/>
    <col min="2056" max="2056" width="23.7109375" style="2" customWidth="1"/>
    <col min="2057" max="2304" width="9.140625" style="2"/>
    <col min="2305" max="2305" width="15.7109375" style="2" customWidth="1"/>
    <col min="2306" max="2306" width="17.140625" style="2" customWidth="1"/>
    <col min="2307" max="2307" width="11.85546875" style="2" customWidth="1"/>
    <col min="2308" max="2308" width="11" style="2" customWidth="1"/>
    <col min="2309" max="2309" width="24.7109375" style="2" customWidth="1"/>
    <col min="2310" max="2310" width="10.7109375" style="2" customWidth="1"/>
    <col min="2311" max="2311" width="27.140625" style="2" customWidth="1"/>
    <col min="2312" max="2312" width="23.7109375" style="2" customWidth="1"/>
    <col min="2313" max="2560" width="9.140625" style="2"/>
    <col min="2561" max="2561" width="15.7109375" style="2" customWidth="1"/>
    <col min="2562" max="2562" width="17.140625" style="2" customWidth="1"/>
    <col min="2563" max="2563" width="11.85546875" style="2" customWidth="1"/>
    <col min="2564" max="2564" width="11" style="2" customWidth="1"/>
    <col min="2565" max="2565" width="24.7109375" style="2" customWidth="1"/>
    <col min="2566" max="2566" width="10.7109375" style="2" customWidth="1"/>
    <col min="2567" max="2567" width="27.140625" style="2" customWidth="1"/>
    <col min="2568" max="2568" width="23.7109375" style="2" customWidth="1"/>
    <col min="2569" max="2816" width="9.140625" style="2"/>
    <col min="2817" max="2817" width="15.7109375" style="2" customWidth="1"/>
    <col min="2818" max="2818" width="17.140625" style="2" customWidth="1"/>
    <col min="2819" max="2819" width="11.85546875" style="2" customWidth="1"/>
    <col min="2820" max="2820" width="11" style="2" customWidth="1"/>
    <col min="2821" max="2821" width="24.7109375" style="2" customWidth="1"/>
    <col min="2822" max="2822" width="10.7109375" style="2" customWidth="1"/>
    <col min="2823" max="2823" width="27.140625" style="2" customWidth="1"/>
    <col min="2824" max="2824" width="23.7109375" style="2" customWidth="1"/>
    <col min="2825" max="3072" width="9.140625" style="2"/>
    <col min="3073" max="3073" width="15.7109375" style="2" customWidth="1"/>
    <col min="3074" max="3074" width="17.140625" style="2" customWidth="1"/>
    <col min="3075" max="3075" width="11.85546875" style="2" customWidth="1"/>
    <col min="3076" max="3076" width="11" style="2" customWidth="1"/>
    <col min="3077" max="3077" width="24.7109375" style="2" customWidth="1"/>
    <col min="3078" max="3078" width="10.7109375" style="2" customWidth="1"/>
    <col min="3079" max="3079" width="27.140625" style="2" customWidth="1"/>
    <col min="3080" max="3080" width="23.7109375" style="2" customWidth="1"/>
    <col min="3081" max="3328" width="9.140625" style="2"/>
    <col min="3329" max="3329" width="15.7109375" style="2" customWidth="1"/>
    <col min="3330" max="3330" width="17.140625" style="2" customWidth="1"/>
    <col min="3331" max="3331" width="11.85546875" style="2" customWidth="1"/>
    <col min="3332" max="3332" width="11" style="2" customWidth="1"/>
    <col min="3333" max="3333" width="24.7109375" style="2" customWidth="1"/>
    <col min="3334" max="3334" width="10.7109375" style="2" customWidth="1"/>
    <col min="3335" max="3335" width="27.140625" style="2" customWidth="1"/>
    <col min="3336" max="3336" width="23.7109375" style="2" customWidth="1"/>
    <col min="3337" max="3584" width="9.140625" style="2"/>
    <col min="3585" max="3585" width="15.7109375" style="2" customWidth="1"/>
    <col min="3586" max="3586" width="17.140625" style="2" customWidth="1"/>
    <col min="3587" max="3587" width="11.85546875" style="2" customWidth="1"/>
    <col min="3588" max="3588" width="11" style="2" customWidth="1"/>
    <col min="3589" max="3589" width="24.7109375" style="2" customWidth="1"/>
    <col min="3590" max="3590" width="10.7109375" style="2" customWidth="1"/>
    <col min="3591" max="3591" width="27.140625" style="2" customWidth="1"/>
    <col min="3592" max="3592" width="23.7109375" style="2" customWidth="1"/>
    <col min="3593" max="3840" width="9.140625" style="2"/>
    <col min="3841" max="3841" width="15.7109375" style="2" customWidth="1"/>
    <col min="3842" max="3842" width="17.140625" style="2" customWidth="1"/>
    <col min="3843" max="3843" width="11.85546875" style="2" customWidth="1"/>
    <col min="3844" max="3844" width="11" style="2" customWidth="1"/>
    <col min="3845" max="3845" width="24.7109375" style="2" customWidth="1"/>
    <col min="3846" max="3846" width="10.7109375" style="2" customWidth="1"/>
    <col min="3847" max="3847" width="27.140625" style="2" customWidth="1"/>
    <col min="3848" max="3848" width="23.7109375" style="2" customWidth="1"/>
    <col min="3849" max="4096" width="9.140625" style="2"/>
    <col min="4097" max="4097" width="15.7109375" style="2" customWidth="1"/>
    <col min="4098" max="4098" width="17.140625" style="2" customWidth="1"/>
    <col min="4099" max="4099" width="11.85546875" style="2" customWidth="1"/>
    <col min="4100" max="4100" width="11" style="2" customWidth="1"/>
    <col min="4101" max="4101" width="24.7109375" style="2" customWidth="1"/>
    <col min="4102" max="4102" width="10.7109375" style="2" customWidth="1"/>
    <col min="4103" max="4103" width="27.140625" style="2" customWidth="1"/>
    <col min="4104" max="4104" width="23.7109375" style="2" customWidth="1"/>
    <col min="4105" max="4352" width="9.140625" style="2"/>
    <col min="4353" max="4353" width="15.7109375" style="2" customWidth="1"/>
    <col min="4354" max="4354" width="17.140625" style="2" customWidth="1"/>
    <col min="4355" max="4355" width="11.85546875" style="2" customWidth="1"/>
    <col min="4356" max="4356" width="11" style="2" customWidth="1"/>
    <col min="4357" max="4357" width="24.7109375" style="2" customWidth="1"/>
    <col min="4358" max="4358" width="10.7109375" style="2" customWidth="1"/>
    <col min="4359" max="4359" width="27.140625" style="2" customWidth="1"/>
    <col min="4360" max="4360" width="23.7109375" style="2" customWidth="1"/>
    <col min="4361" max="4608" width="9.140625" style="2"/>
    <col min="4609" max="4609" width="15.7109375" style="2" customWidth="1"/>
    <col min="4610" max="4610" width="17.140625" style="2" customWidth="1"/>
    <col min="4611" max="4611" width="11.85546875" style="2" customWidth="1"/>
    <col min="4612" max="4612" width="11" style="2" customWidth="1"/>
    <col min="4613" max="4613" width="24.7109375" style="2" customWidth="1"/>
    <col min="4614" max="4614" width="10.7109375" style="2" customWidth="1"/>
    <col min="4615" max="4615" width="27.140625" style="2" customWidth="1"/>
    <col min="4616" max="4616" width="23.7109375" style="2" customWidth="1"/>
    <col min="4617" max="4864" width="9.140625" style="2"/>
    <col min="4865" max="4865" width="15.7109375" style="2" customWidth="1"/>
    <col min="4866" max="4866" width="17.140625" style="2" customWidth="1"/>
    <col min="4867" max="4867" width="11.85546875" style="2" customWidth="1"/>
    <col min="4868" max="4868" width="11" style="2" customWidth="1"/>
    <col min="4869" max="4869" width="24.7109375" style="2" customWidth="1"/>
    <col min="4870" max="4870" width="10.7109375" style="2" customWidth="1"/>
    <col min="4871" max="4871" width="27.140625" style="2" customWidth="1"/>
    <col min="4872" max="4872" width="23.7109375" style="2" customWidth="1"/>
    <col min="4873" max="5120" width="9.140625" style="2"/>
    <col min="5121" max="5121" width="15.7109375" style="2" customWidth="1"/>
    <col min="5122" max="5122" width="17.140625" style="2" customWidth="1"/>
    <col min="5123" max="5123" width="11.85546875" style="2" customWidth="1"/>
    <col min="5124" max="5124" width="11" style="2" customWidth="1"/>
    <col min="5125" max="5125" width="24.7109375" style="2" customWidth="1"/>
    <col min="5126" max="5126" width="10.7109375" style="2" customWidth="1"/>
    <col min="5127" max="5127" width="27.140625" style="2" customWidth="1"/>
    <col min="5128" max="5128" width="23.7109375" style="2" customWidth="1"/>
    <col min="5129" max="5376" width="9.140625" style="2"/>
    <col min="5377" max="5377" width="15.7109375" style="2" customWidth="1"/>
    <col min="5378" max="5378" width="17.140625" style="2" customWidth="1"/>
    <col min="5379" max="5379" width="11.85546875" style="2" customWidth="1"/>
    <col min="5380" max="5380" width="11" style="2" customWidth="1"/>
    <col min="5381" max="5381" width="24.7109375" style="2" customWidth="1"/>
    <col min="5382" max="5382" width="10.7109375" style="2" customWidth="1"/>
    <col min="5383" max="5383" width="27.140625" style="2" customWidth="1"/>
    <col min="5384" max="5384" width="23.7109375" style="2" customWidth="1"/>
    <col min="5385" max="5632" width="9.140625" style="2"/>
    <col min="5633" max="5633" width="15.7109375" style="2" customWidth="1"/>
    <col min="5634" max="5634" width="17.140625" style="2" customWidth="1"/>
    <col min="5635" max="5635" width="11.85546875" style="2" customWidth="1"/>
    <col min="5636" max="5636" width="11" style="2" customWidth="1"/>
    <col min="5637" max="5637" width="24.7109375" style="2" customWidth="1"/>
    <col min="5638" max="5638" width="10.7109375" style="2" customWidth="1"/>
    <col min="5639" max="5639" width="27.140625" style="2" customWidth="1"/>
    <col min="5640" max="5640" width="23.7109375" style="2" customWidth="1"/>
    <col min="5641" max="5888" width="9.140625" style="2"/>
    <col min="5889" max="5889" width="15.7109375" style="2" customWidth="1"/>
    <col min="5890" max="5890" width="17.140625" style="2" customWidth="1"/>
    <col min="5891" max="5891" width="11.85546875" style="2" customWidth="1"/>
    <col min="5892" max="5892" width="11" style="2" customWidth="1"/>
    <col min="5893" max="5893" width="24.7109375" style="2" customWidth="1"/>
    <col min="5894" max="5894" width="10.7109375" style="2" customWidth="1"/>
    <col min="5895" max="5895" width="27.140625" style="2" customWidth="1"/>
    <col min="5896" max="5896" width="23.7109375" style="2" customWidth="1"/>
    <col min="5897" max="6144" width="9.140625" style="2"/>
    <col min="6145" max="6145" width="15.7109375" style="2" customWidth="1"/>
    <col min="6146" max="6146" width="17.140625" style="2" customWidth="1"/>
    <col min="6147" max="6147" width="11.85546875" style="2" customWidth="1"/>
    <col min="6148" max="6148" width="11" style="2" customWidth="1"/>
    <col min="6149" max="6149" width="24.7109375" style="2" customWidth="1"/>
    <col min="6150" max="6150" width="10.7109375" style="2" customWidth="1"/>
    <col min="6151" max="6151" width="27.140625" style="2" customWidth="1"/>
    <col min="6152" max="6152" width="23.7109375" style="2" customWidth="1"/>
    <col min="6153" max="6400" width="9.140625" style="2"/>
    <col min="6401" max="6401" width="15.7109375" style="2" customWidth="1"/>
    <col min="6402" max="6402" width="17.140625" style="2" customWidth="1"/>
    <col min="6403" max="6403" width="11.85546875" style="2" customWidth="1"/>
    <col min="6404" max="6404" width="11" style="2" customWidth="1"/>
    <col min="6405" max="6405" width="24.7109375" style="2" customWidth="1"/>
    <col min="6406" max="6406" width="10.7109375" style="2" customWidth="1"/>
    <col min="6407" max="6407" width="27.140625" style="2" customWidth="1"/>
    <col min="6408" max="6408" width="23.7109375" style="2" customWidth="1"/>
    <col min="6409" max="6656" width="9.140625" style="2"/>
    <col min="6657" max="6657" width="15.7109375" style="2" customWidth="1"/>
    <col min="6658" max="6658" width="17.140625" style="2" customWidth="1"/>
    <col min="6659" max="6659" width="11.85546875" style="2" customWidth="1"/>
    <col min="6660" max="6660" width="11" style="2" customWidth="1"/>
    <col min="6661" max="6661" width="24.7109375" style="2" customWidth="1"/>
    <col min="6662" max="6662" width="10.7109375" style="2" customWidth="1"/>
    <col min="6663" max="6663" width="27.140625" style="2" customWidth="1"/>
    <col min="6664" max="6664" width="23.7109375" style="2" customWidth="1"/>
    <col min="6665" max="6912" width="9.140625" style="2"/>
    <col min="6913" max="6913" width="15.7109375" style="2" customWidth="1"/>
    <col min="6914" max="6914" width="17.140625" style="2" customWidth="1"/>
    <col min="6915" max="6915" width="11.85546875" style="2" customWidth="1"/>
    <col min="6916" max="6916" width="11" style="2" customWidth="1"/>
    <col min="6917" max="6917" width="24.7109375" style="2" customWidth="1"/>
    <col min="6918" max="6918" width="10.7109375" style="2" customWidth="1"/>
    <col min="6919" max="6919" width="27.140625" style="2" customWidth="1"/>
    <col min="6920" max="6920" width="23.7109375" style="2" customWidth="1"/>
    <col min="6921" max="7168" width="9.140625" style="2"/>
    <col min="7169" max="7169" width="15.7109375" style="2" customWidth="1"/>
    <col min="7170" max="7170" width="17.140625" style="2" customWidth="1"/>
    <col min="7171" max="7171" width="11.85546875" style="2" customWidth="1"/>
    <col min="7172" max="7172" width="11" style="2" customWidth="1"/>
    <col min="7173" max="7173" width="24.7109375" style="2" customWidth="1"/>
    <col min="7174" max="7174" width="10.7109375" style="2" customWidth="1"/>
    <col min="7175" max="7175" width="27.140625" style="2" customWidth="1"/>
    <col min="7176" max="7176" width="23.7109375" style="2" customWidth="1"/>
    <col min="7177" max="7424" width="9.140625" style="2"/>
    <col min="7425" max="7425" width="15.7109375" style="2" customWidth="1"/>
    <col min="7426" max="7426" width="17.140625" style="2" customWidth="1"/>
    <col min="7427" max="7427" width="11.85546875" style="2" customWidth="1"/>
    <col min="7428" max="7428" width="11" style="2" customWidth="1"/>
    <col min="7429" max="7429" width="24.7109375" style="2" customWidth="1"/>
    <col min="7430" max="7430" width="10.7109375" style="2" customWidth="1"/>
    <col min="7431" max="7431" width="27.140625" style="2" customWidth="1"/>
    <col min="7432" max="7432" width="23.7109375" style="2" customWidth="1"/>
    <col min="7433" max="7680" width="9.140625" style="2"/>
    <col min="7681" max="7681" width="15.7109375" style="2" customWidth="1"/>
    <col min="7682" max="7682" width="17.140625" style="2" customWidth="1"/>
    <col min="7683" max="7683" width="11.85546875" style="2" customWidth="1"/>
    <col min="7684" max="7684" width="11" style="2" customWidth="1"/>
    <col min="7685" max="7685" width="24.7109375" style="2" customWidth="1"/>
    <col min="7686" max="7686" width="10.7109375" style="2" customWidth="1"/>
    <col min="7687" max="7687" width="27.140625" style="2" customWidth="1"/>
    <col min="7688" max="7688" width="23.7109375" style="2" customWidth="1"/>
    <col min="7689" max="7936" width="9.140625" style="2"/>
    <col min="7937" max="7937" width="15.7109375" style="2" customWidth="1"/>
    <col min="7938" max="7938" width="17.140625" style="2" customWidth="1"/>
    <col min="7939" max="7939" width="11.85546875" style="2" customWidth="1"/>
    <col min="7940" max="7940" width="11" style="2" customWidth="1"/>
    <col min="7941" max="7941" width="24.7109375" style="2" customWidth="1"/>
    <col min="7942" max="7942" width="10.7109375" style="2" customWidth="1"/>
    <col min="7943" max="7943" width="27.140625" style="2" customWidth="1"/>
    <col min="7944" max="7944" width="23.7109375" style="2" customWidth="1"/>
    <col min="7945" max="8192" width="9.140625" style="2"/>
    <col min="8193" max="8193" width="15.7109375" style="2" customWidth="1"/>
    <col min="8194" max="8194" width="17.140625" style="2" customWidth="1"/>
    <col min="8195" max="8195" width="11.85546875" style="2" customWidth="1"/>
    <col min="8196" max="8196" width="11" style="2" customWidth="1"/>
    <col min="8197" max="8197" width="24.7109375" style="2" customWidth="1"/>
    <col min="8198" max="8198" width="10.7109375" style="2" customWidth="1"/>
    <col min="8199" max="8199" width="27.140625" style="2" customWidth="1"/>
    <col min="8200" max="8200" width="23.7109375" style="2" customWidth="1"/>
    <col min="8201" max="8448" width="9.140625" style="2"/>
    <col min="8449" max="8449" width="15.7109375" style="2" customWidth="1"/>
    <col min="8450" max="8450" width="17.140625" style="2" customWidth="1"/>
    <col min="8451" max="8451" width="11.85546875" style="2" customWidth="1"/>
    <col min="8452" max="8452" width="11" style="2" customWidth="1"/>
    <col min="8453" max="8453" width="24.7109375" style="2" customWidth="1"/>
    <col min="8454" max="8454" width="10.7109375" style="2" customWidth="1"/>
    <col min="8455" max="8455" width="27.140625" style="2" customWidth="1"/>
    <col min="8456" max="8456" width="23.7109375" style="2" customWidth="1"/>
    <col min="8457" max="8704" width="9.140625" style="2"/>
    <col min="8705" max="8705" width="15.7109375" style="2" customWidth="1"/>
    <col min="8706" max="8706" width="17.140625" style="2" customWidth="1"/>
    <col min="8707" max="8707" width="11.85546875" style="2" customWidth="1"/>
    <col min="8708" max="8708" width="11" style="2" customWidth="1"/>
    <col min="8709" max="8709" width="24.7109375" style="2" customWidth="1"/>
    <col min="8710" max="8710" width="10.7109375" style="2" customWidth="1"/>
    <col min="8711" max="8711" width="27.140625" style="2" customWidth="1"/>
    <col min="8712" max="8712" width="23.7109375" style="2" customWidth="1"/>
    <col min="8713" max="8960" width="9.140625" style="2"/>
    <col min="8961" max="8961" width="15.7109375" style="2" customWidth="1"/>
    <col min="8962" max="8962" width="17.140625" style="2" customWidth="1"/>
    <col min="8963" max="8963" width="11.85546875" style="2" customWidth="1"/>
    <col min="8964" max="8964" width="11" style="2" customWidth="1"/>
    <col min="8965" max="8965" width="24.7109375" style="2" customWidth="1"/>
    <col min="8966" max="8966" width="10.7109375" style="2" customWidth="1"/>
    <col min="8967" max="8967" width="27.140625" style="2" customWidth="1"/>
    <col min="8968" max="8968" width="23.7109375" style="2" customWidth="1"/>
    <col min="8969" max="9216" width="9.140625" style="2"/>
    <col min="9217" max="9217" width="15.7109375" style="2" customWidth="1"/>
    <col min="9218" max="9218" width="17.140625" style="2" customWidth="1"/>
    <col min="9219" max="9219" width="11.85546875" style="2" customWidth="1"/>
    <col min="9220" max="9220" width="11" style="2" customWidth="1"/>
    <col min="9221" max="9221" width="24.7109375" style="2" customWidth="1"/>
    <col min="9222" max="9222" width="10.7109375" style="2" customWidth="1"/>
    <col min="9223" max="9223" width="27.140625" style="2" customWidth="1"/>
    <col min="9224" max="9224" width="23.7109375" style="2" customWidth="1"/>
    <col min="9225" max="9472" width="9.140625" style="2"/>
    <col min="9473" max="9473" width="15.7109375" style="2" customWidth="1"/>
    <col min="9474" max="9474" width="17.140625" style="2" customWidth="1"/>
    <col min="9475" max="9475" width="11.85546875" style="2" customWidth="1"/>
    <col min="9476" max="9476" width="11" style="2" customWidth="1"/>
    <col min="9477" max="9477" width="24.7109375" style="2" customWidth="1"/>
    <col min="9478" max="9478" width="10.7109375" style="2" customWidth="1"/>
    <col min="9479" max="9479" width="27.140625" style="2" customWidth="1"/>
    <col min="9480" max="9480" width="23.7109375" style="2" customWidth="1"/>
    <col min="9481" max="9728" width="9.140625" style="2"/>
    <col min="9729" max="9729" width="15.7109375" style="2" customWidth="1"/>
    <col min="9730" max="9730" width="17.140625" style="2" customWidth="1"/>
    <col min="9731" max="9731" width="11.85546875" style="2" customWidth="1"/>
    <col min="9732" max="9732" width="11" style="2" customWidth="1"/>
    <col min="9733" max="9733" width="24.7109375" style="2" customWidth="1"/>
    <col min="9734" max="9734" width="10.7109375" style="2" customWidth="1"/>
    <col min="9735" max="9735" width="27.140625" style="2" customWidth="1"/>
    <col min="9736" max="9736" width="23.7109375" style="2" customWidth="1"/>
    <col min="9737" max="9984" width="9.140625" style="2"/>
    <col min="9985" max="9985" width="15.7109375" style="2" customWidth="1"/>
    <col min="9986" max="9986" width="17.140625" style="2" customWidth="1"/>
    <col min="9987" max="9987" width="11.85546875" style="2" customWidth="1"/>
    <col min="9988" max="9988" width="11" style="2" customWidth="1"/>
    <col min="9989" max="9989" width="24.7109375" style="2" customWidth="1"/>
    <col min="9990" max="9990" width="10.7109375" style="2" customWidth="1"/>
    <col min="9991" max="9991" width="27.140625" style="2" customWidth="1"/>
    <col min="9992" max="9992" width="23.7109375" style="2" customWidth="1"/>
    <col min="9993" max="10240" width="9.140625" style="2"/>
    <col min="10241" max="10241" width="15.7109375" style="2" customWidth="1"/>
    <col min="10242" max="10242" width="17.140625" style="2" customWidth="1"/>
    <col min="10243" max="10243" width="11.85546875" style="2" customWidth="1"/>
    <col min="10244" max="10244" width="11" style="2" customWidth="1"/>
    <col min="10245" max="10245" width="24.7109375" style="2" customWidth="1"/>
    <col min="10246" max="10246" width="10.7109375" style="2" customWidth="1"/>
    <col min="10247" max="10247" width="27.140625" style="2" customWidth="1"/>
    <col min="10248" max="10248" width="23.7109375" style="2" customWidth="1"/>
    <col min="10249" max="10496" width="9.140625" style="2"/>
    <col min="10497" max="10497" width="15.7109375" style="2" customWidth="1"/>
    <col min="10498" max="10498" width="17.140625" style="2" customWidth="1"/>
    <col min="10499" max="10499" width="11.85546875" style="2" customWidth="1"/>
    <col min="10500" max="10500" width="11" style="2" customWidth="1"/>
    <col min="10501" max="10501" width="24.7109375" style="2" customWidth="1"/>
    <col min="10502" max="10502" width="10.7109375" style="2" customWidth="1"/>
    <col min="10503" max="10503" width="27.140625" style="2" customWidth="1"/>
    <col min="10504" max="10504" width="23.7109375" style="2" customWidth="1"/>
    <col min="10505" max="10752" width="9.140625" style="2"/>
    <col min="10753" max="10753" width="15.7109375" style="2" customWidth="1"/>
    <col min="10754" max="10754" width="17.140625" style="2" customWidth="1"/>
    <col min="10755" max="10755" width="11.85546875" style="2" customWidth="1"/>
    <col min="10756" max="10756" width="11" style="2" customWidth="1"/>
    <col min="10757" max="10757" width="24.7109375" style="2" customWidth="1"/>
    <col min="10758" max="10758" width="10.7109375" style="2" customWidth="1"/>
    <col min="10759" max="10759" width="27.140625" style="2" customWidth="1"/>
    <col min="10760" max="10760" width="23.7109375" style="2" customWidth="1"/>
    <col min="10761" max="11008" width="9.140625" style="2"/>
    <col min="11009" max="11009" width="15.7109375" style="2" customWidth="1"/>
    <col min="11010" max="11010" width="17.140625" style="2" customWidth="1"/>
    <col min="11011" max="11011" width="11.85546875" style="2" customWidth="1"/>
    <col min="11012" max="11012" width="11" style="2" customWidth="1"/>
    <col min="11013" max="11013" width="24.7109375" style="2" customWidth="1"/>
    <col min="11014" max="11014" width="10.7109375" style="2" customWidth="1"/>
    <col min="11015" max="11015" width="27.140625" style="2" customWidth="1"/>
    <col min="11016" max="11016" width="23.7109375" style="2" customWidth="1"/>
    <col min="11017" max="11264" width="9.140625" style="2"/>
    <col min="11265" max="11265" width="15.7109375" style="2" customWidth="1"/>
    <col min="11266" max="11266" width="17.140625" style="2" customWidth="1"/>
    <col min="11267" max="11267" width="11.85546875" style="2" customWidth="1"/>
    <col min="11268" max="11268" width="11" style="2" customWidth="1"/>
    <col min="11269" max="11269" width="24.7109375" style="2" customWidth="1"/>
    <col min="11270" max="11270" width="10.7109375" style="2" customWidth="1"/>
    <col min="11271" max="11271" width="27.140625" style="2" customWidth="1"/>
    <col min="11272" max="11272" width="23.7109375" style="2" customWidth="1"/>
    <col min="11273" max="11520" width="9.140625" style="2"/>
    <col min="11521" max="11521" width="15.7109375" style="2" customWidth="1"/>
    <col min="11522" max="11522" width="17.140625" style="2" customWidth="1"/>
    <col min="11523" max="11523" width="11.85546875" style="2" customWidth="1"/>
    <col min="11524" max="11524" width="11" style="2" customWidth="1"/>
    <col min="11525" max="11525" width="24.7109375" style="2" customWidth="1"/>
    <col min="11526" max="11526" width="10.7109375" style="2" customWidth="1"/>
    <col min="11527" max="11527" width="27.140625" style="2" customWidth="1"/>
    <col min="11528" max="11528" width="23.7109375" style="2" customWidth="1"/>
    <col min="11529" max="11776" width="9.140625" style="2"/>
    <col min="11777" max="11777" width="15.7109375" style="2" customWidth="1"/>
    <col min="11778" max="11778" width="17.140625" style="2" customWidth="1"/>
    <col min="11779" max="11779" width="11.85546875" style="2" customWidth="1"/>
    <col min="11780" max="11780" width="11" style="2" customWidth="1"/>
    <col min="11781" max="11781" width="24.7109375" style="2" customWidth="1"/>
    <col min="11782" max="11782" width="10.7109375" style="2" customWidth="1"/>
    <col min="11783" max="11783" width="27.140625" style="2" customWidth="1"/>
    <col min="11784" max="11784" width="23.7109375" style="2" customWidth="1"/>
    <col min="11785" max="12032" width="9.140625" style="2"/>
    <col min="12033" max="12033" width="15.7109375" style="2" customWidth="1"/>
    <col min="12034" max="12034" width="17.140625" style="2" customWidth="1"/>
    <col min="12035" max="12035" width="11.85546875" style="2" customWidth="1"/>
    <col min="12036" max="12036" width="11" style="2" customWidth="1"/>
    <col min="12037" max="12037" width="24.7109375" style="2" customWidth="1"/>
    <col min="12038" max="12038" width="10.7109375" style="2" customWidth="1"/>
    <col min="12039" max="12039" width="27.140625" style="2" customWidth="1"/>
    <col min="12040" max="12040" width="23.7109375" style="2" customWidth="1"/>
    <col min="12041" max="12288" width="9.140625" style="2"/>
    <col min="12289" max="12289" width="15.7109375" style="2" customWidth="1"/>
    <col min="12290" max="12290" width="17.140625" style="2" customWidth="1"/>
    <col min="12291" max="12291" width="11.85546875" style="2" customWidth="1"/>
    <col min="12292" max="12292" width="11" style="2" customWidth="1"/>
    <col min="12293" max="12293" width="24.7109375" style="2" customWidth="1"/>
    <col min="12294" max="12294" width="10.7109375" style="2" customWidth="1"/>
    <col min="12295" max="12295" width="27.140625" style="2" customWidth="1"/>
    <col min="12296" max="12296" width="23.7109375" style="2" customWidth="1"/>
    <col min="12297" max="12544" width="9.140625" style="2"/>
    <col min="12545" max="12545" width="15.7109375" style="2" customWidth="1"/>
    <col min="12546" max="12546" width="17.140625" style="2" customWidth="1"/>
    <col min="12547" max="12547" width="11.85546875" style="2" customWidth="1"/>
    <col min="12548" max="12548" width="11" style="2" customWidth="1"/>
    <col min="12549" max="12549" width="24.7109375" style="2" customWidth="1"/>
    <col min="12550" max="12550" width="10.7109375" style="2" customWidth="1"/>
    <col min="12551" max="12551" width="27.140625" style="2" customWidth="1"/>
    <col min="12552" max="12552" width="23.7109375" style="2" customWidth="1"/>
    <col min="12553" max="12800" width="9.140625" style="2"/>
    <col min="12801" max="12801" width="15.7109375" style="2" customWidth="1"/>
    <col min="12802" max="12802" width="17.140625" style="2" customWidth="1"/>
    <col min="12803" max="12803" width="11.85546875" style="2" customWidth="1"/>
    <col min="12804" max="12804" width="11" style="2" customWidth="1"/>
    <col min="12805" max="12805" width="24.7109375" style="2" customWidth="1"/>
    <col min="12806" max="12806" width="10.7109375" style="2" customWidth="1"/>
    <col min="12807" max="12807" width="27.140625" style="2" customWidth="1"/>
    <col min="12808" max="12808" width="23.7109375" style="2" customWidth="1"/>
    <col min="12809" max="13056" width="9.140625" style="2"/>
    <col min="13057" max="13057" width="15.7109375" style="2" customWidth="1"/>
    <col min="13058" max="13058" width="17.140625" style="2" customWidth="1"/>
    <col min="13059" max="13059" width="11.85546875" style="2" customWidth="1"/>
    <col min="13060" max="13060" width="11" style="2" customWidth="1"/>
    <col min="13061" max="13061" width="24.7109375" style="2" customWidth="1"/>
    <col min="13062" max="13062" width="10.7109375" style="2" customWidth="1"/>
    <col min="13063" max="13063" width="27.140625" style="2" customWidth="1"/>
    <col min="13064" max="13064" width="23.7109375" style="2" customWidth="1"/>
    <col min="13065" max="13312" width="9.140625" style="2"/>
    <col min="13313" max="13313" width="15.7109375" style="2" customWidth="1"/>
    <col min="13314" max="13314" width="17.140625" style="2" customWidth="1"/>
    <col min="13315" max="13315" width="11.85546875" style="2" customWidth="1"/>
    <col min="13316" max="13316" width="11" style="2" customWidth="1"/>
    <col min="13317" max="13317" width="24.7109375" style="2" customWidth="1"/>
    <col min="13318" max="13318" width="10.7109375" style="2" customWidth="1"/>
    <col min="13319" max="13319" width="27.140625" style="2" customWidth="1"/>
    <col min="13320" max="13320" width="23.7109375" style="2" customWidth="1"/>
    <col min="13321" max="13568" width="9.140625" style="2"/>
    <col min="13569" max="13569" width="15.7109375" style="2" customWidth="1"/>
    <col min="13570" max="13570" width="17.140625" style="2" customWidth="1"/>
    <col min="13571" max="13571" width="11.85546875" style="2" customWidth="1"/>
    <col min="13572" max="13572" width="11" style="2" customWidth="1"/>
    <col min="13573" max="13573" width="24.7109375" style="2" customWidth="1"/>
    <col min="13574" max="13574" width="10.7109375" style="2" customWidth="1"/>
    <col min="13575" max="13575" width="27.140625" style="2" customWidth="1"/>
    <col min="13576" max="13576" width="23.7109375" style="2" customWidth="1"/>
    <col min="13577" max="13824" width="9.140625" style="2"/>
    <col min="13825" max="13825" width="15.7109375" style="2" customWidth="1"/>
    <col min="13826" max="13826" width="17.140625" style="2" customWidth="1"/>
    <col min="13827" max="13827" width="11.85546875" style="2" customWidth="1"/>
    <col min="13828" max="13828" width="11" style="2" customWidth="1"/>
    <col min="13829" max="13829" width="24.7109375" style="2" customWidth="1"/>
    <col min="13830" max="13830" width="10.7109375" style="2" customWidth="1"/>
    <col min="13831" max="13831" width="27.140625" style="2" customWidth="1"/>
    <col min="13832" max="13832" width="23.7109375" style="2" customWidth="1"/>
    <col min="13833" max="14080" width="9.140625" style="2"/>
    <col min="14081" max="14081" width="15.7109375" style="2" customWidth="1"/>
    <col min="14082" max="14082" width="17.140625" style="2" customWidth="1"/>
    <col min="14083" max="14083" width="11.85546875" style="2" customWidth="1"/>
    <col min="14084" max="14084" width="11" style="2" customWidth="1"/>
    <col min="14085" max="14085" width="24.7109375" style="2" customWidth="1"/>
    <col min="14086" max="14086" width="10.7109375" style="2" customWidth="1"/>
    <col min="14087" max="14087" width="27.140625" style="2" customWidth="1"/>
    <col min="14088" max="14088" width="23.7109375" style="2" customWidth="1"/>
    <col min="14089" max="14336" width="9.140625" style="2"/>
    <col min="14337" max="14337" width="15.7109375" style="2" customWidth="1"/>
    <col min="14338" max="14338" width="17.140625" style="2" customWidth="1"/>
    <col min="14339" max="14339" width="11.85546875" style="2" customWidth="1"/>
    <col min="14340" max="14340" width="11" style="2" customWidth="1"/>
    <col min="14341" max="14341" width="24.7109375" style="2" customWidth="1"/>
    <col min="14342" max="14342" width="10.7109375" style="2" customWidth="1"/>
    <col min="14343" max="14343" width="27.140625" style="2" customWidth="1"/>
    <col min="14344" max="14344" width="23.7109375" style="2" customWidth="1"/>
    <col min="14345" max="14592" width="9.140625" style="2"/>
    <col min="14593" max="14593" width="15.7109375" style="2" customWidth="1"/>
    <col min="14594" max="14594" width="17.140625" style="2" customWidth="1"/>
    <col min="14595" max="14595" width="11.85546875" style="2" customWidth="1"/>
    <col min="14596" max="14596" width="11" style="2" customWidth="1"/>
    <col min="14597" max="14597" width="24.7109375" style="2" customWidth="1"/>
    <col min="14598" max="14598" width="10.7109375" style="2" customWidth="1"/>
    <col min="14599" max="14599" width="27.140625" style="2" customWidth="1"/>
    <col min="14600" max="14600" width="23.7109375" style="2" customWidth="1"/>
    <col min="14601" max="14848" width="9.140625" style="2"/>
    <col min="14849" max="14849" width="15.7109375" style="2" customWidth="1"/>
    <col min="14850" max="14850" width="17.140625" style="2" customWidth="1"/>
    <col min="14851" max="14851" width="11.85546875" style="2" customWidth="1"/>
    <col min="14852" max="14852" width="11" style="2" customWidth="1"/>
    <col min="14853" max="14853" width="24.7109375" style="2" customWidth="1"/>
    <col min="14854" max="14854" width="10.7109375" style="2" customWidth="1"/>
    <col min="14855" max="14855" width="27.140625" style="2" customWidth="1"/>
    <col min="14856" max="14856" width="23.7109375" style="2" customWidth="1"/>
    <col min="14857" max="15104" width="9.140625" style="2"/>
    <col min="15105" max="15105" width="15.7109375" style="2" customWidth="1"/>
    <col min="15106" max="15106" width="17.140625" style="2" customWidth="1"/>
    <col min="15107" max="15107" width="11.85546875" style="2" customWidth="1"/>
    <col min="15108" max="15108" width="11" style="2" customWidth="1"/>
    <col min="15109" max="15109" width="24.7109375" style="2" customWidth="1"/>
    <col min="15110" max="15110" width="10.7109375" style="2" customWidth="1"/>
    <col min="15111" max="15111" width="27.140625" style="2" customWidth="1"/>
    <col min="15112" max="15112" width="23.7109375" style="2" customWidth="1"/>
    <col min="15113" max="15360" width="9.140625" style="2"/>
    <col min="15361" max="15361" width="15.7109375" style="2" customWidth="1"/>
    <col min="15362" max="15362" width="17.140625" style="2" customWidth="1"/>
    <col min="15363" max="15363" width="11.85546875" style="2" customWidth="1"/>
    <col min="15364" max="15364" width="11" style="2" customWidth="1"/>
    <col min="15365" max="15365" width="24.7109375" style="2" customWidth="1"/>
    <col min="15366" max="15366" width="10.7109375" style="2" customWidth="1"/>
    <col min="15367" max="15367" width="27.140625" style="2" customWidth="1"/>
    <col min="15368" max="15368" width="23.7109375" style="2" customWidth="1"/>
    <col min="15369" max="15616" width="9.140625" style="2"/>
    <col min="15617" max="15617" width="15.7109375" style="2" customWidth="1"/>
    <col min="15618" max="15618" width="17.140625" style="2" customWidth="1"/>
    <col min="15619" max="15619" width="11.85546875" style="2" customWidth="1"/>
    <col min="15620" max="15620" width="11" style="2" customWidth="1"/>
    <col min="15621" max="15621" width="24.7109375" style="2" customWidth="1"/>
    <col min="15622" max="15622" width="10.7109375" style="2" customWidth="1"/>
    <col min="15623" max="15623" width="27.140625" style="2" customWidth="1"/>
    <col min="15624" max="15624" width="23.7109375" style="2" customWidth="1"/>
    <col min="15625" max="15872" width="9.140625" style="2"/>
    <col min="15873" max="15873" width="15.7109375" style="2" customWidth="1"/>
    <col min="15874" max="15874" width="17.140625" style="2" customWidth="1"/>
    <col min="15875" max="15875" width="11.85546875" style="2" customWidth="1"/>
    <col min="15876" max="15876" width="11" style="2" customWidth="1"/>
    <col min="15877" max="15877" width="24.7109375" style="2" customWidth="1"/>
    <col min="15878" max="15878" width="10.7109375" style="2" customWidth="1"/>
    <col min="15879" max="15879" width="27.140625" style="2" customWidth="1"/>
    <col min="15880" max="15880" width="23.7109375" style="2" customWidth="1"/>
    <col min="15881" max="16128" width="9.140625" style="2"/>
    <col min="16129" max="16129" width="15.7109375" style="2" customWidth="1"/>
    <col min="16130" max="16130" width="17.140625" style="2" customWidth="1"/>
    <col min="16131" max="16131" width="11.85546875" style="2" customWidth="1"/>
    <col min="16132" max="16132" width="11" style="2" customWidth="1"/>
    <col min="16133" max="16133" width="24.7109375" style="2" customWidth="1"/>
    <col min="16134" max="16134" width="10.7109375" style="2" customWidth="1"/>
    <col min="16135" max="16135" width="27.140625" style="2" customWidth="1"/>
    <col min="16136" max="16136" width="23.7109375" style="2" customWidth="1"/>
    <col min="16137" max="16384" width="9.140625" style="2"/>
  </cols>
  <sheetData>
    <row r="1" spans="1:16" ht="16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9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16" ht="12.95" customHeight="1">
      <c r="A7" s="35" t="s">
        <v>107</v>
      </c>
      <c r="B7" s="36"/>
      <c r="C7" s="36"/>
      <c r="D7" s="36"/>
      <c r="E7" s="36"/>
      <c r="F7" s="36"/>
    </row>
    <row r="9" spans="1:16" ht="12.95" customHeight="1">
      <c r="A9" s="2" t="s">
        <v>108</v>
      </c>
      <c r="B9" s="5">
        <v>1E-3</v>
      </c>
      <c r="C9" s="6" t="s">
        <v>10</v>
      </c>
      <c r="D9" s="2" t="s">
        <v>269</v>
      </c>
      <c r="E9" s="9">
        <f>Irip/2</f>
        <v>0.93577620173364862</v>
      </c>
      <c r="F9" s="6" t="s">
        <v>10</v>
      </c>
      <c r="G9" s="29"/>
      <c r="H9" s="29"/>
      <c r="I9" s="29"/>
    </row>
    <row r="10" spans="1:16" ht="12.95" customHeight="1">
      <c r="A10" s="2" t="s">
        <v>109</v>
      </c>
      <c r="B10" s="5">
        <f>+Iout</f>
        <v>3</v>
      </c>
      <c r="C10" s="6" t="s">
        <v>10</v>
      </c>
      <c r="D10" s="29"/>
      <c r="E10" s="29"/>
      <c r="F10" s="29"/>
      <c r="G10" s="29"/>
      <c r="H10" s="29"/>
      <c r="I10" s="10" t="str">
        <f>IF(B10&gt;6,"Over Limit of IC!"," ")</f>
        <v xml:space="preserve"> </v>
      </c>
    </row>
    <row r="11" spans="1:16" s="37" customFormat="1" ht="16.5" customHeight="1">
      <c r="A11" s="34"/>
      <c r="B11" s="34"/>
      <c r="C11" s="34"/>
      <c r="D11" s="34"/>
      <c r="E11" s="34"/>
      <c r="F11" s="34"/>
      <c r="G11" s="34"/>
    </row>
    <row r="12" spans="1:16" s="37" customFormat="1" ht="12.95" customHeight="1">
      <c r="A12" s="149" t="s">
        <v>9</v>
      </c>
      <c r="B12" s="149" t="s">
        <v>110</v>
      </c>
      <c r="C12" s="149" t="s">
        <v>41</v>
      </c>
      <c r="D12" s="149" t="s">
        <v>111</v>
      </c>
      <c r="E12" s="149" t="s">
        <v>112</v>
      </c>
      <c r="F12" s="149" t="s">
        <v>113</v>
      </c>
      <c r="G12" s="149" t="s">
        <v>114</v>
      </c>
      <c r="H12" s="149" t="s">
        <v>115</v>
      </c>
      <c r="I12" s="100"/>
      <c r="J12" s="38"/>
      <c r="K12" s="38"/>
    </row>
    <row r="13" spans="1:16" s="37" customFormat="1" ht="12.95" customHeight="1">
      <c r="A13" s="142">
        <f>Imin</f>
        <v>1E-3</v>
      </c>
      <c r="B13" s="138">
        <f t="shared" ref="B13:B24" si="0">SUM(D13:H13)</f>
        <v>0.1439572792073705</v>
      </c>
      <c r="C13" s="139">
        <f>(Vout*A13)/((Vout*A13)+B13)*100</f>
        <v>3.3566671106010624</v>
      </c>
      <c r="D13" s="150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5.1082347260378219E-2</v>
      </c>
      <c r="E13" s="150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2.7581532460109047E-2</v>
      </c>
      <c r="F13" s="150">
        <f>B44*'Power Loss'!$B$79*'Power Loss'!$B$49*10^(-6)*'Power Loss'!$B$54+B44*'Power Loss'!$B$80*'Power Loss'!$B$66*10^(-6)*'Power Loss'!$B$71+'Power Loss'!$B$80*'Power Loss'!$B$81*0.001</f>
        <v>3.0300213878687469E-2</v>
      </c>
      <c r="G13" s="150">
        <f t="shared" ref="G13" si="1">0.7*10^(-9)*(B44)^1.35*(57.8*0.5*E44)^2.263+DCR/1000*(A13*SQRT(1+1/3*(E44/A13)^2))^2</f>
        <v>3.4263425291534311E-2</v>
      </c>
      <c r="H13" s="150">
        <f>(0.5*E44/SQRT(3))^2*'Power Loss'!$B$33/'Power Loss'!$B$31/1000</f>
        <v>7.297603166614542E-4</v>
      </c>
      <c r="I13" s="38"/>
      <c r="J13" s="38"/>
      <c r="K13" s="38"/>
    </row>
    <row r="14" spans="1:16" s="37" customFormat="1" ht="12.95" customHeight="1">
      <c r="A14" s="142">
        <f>Imin+(Imax-Imin)*0.001</f>
        <v>3.9990000000000008E-3</v>
      </c>
      <c r="B14" s="138">
        <f t="shared" si="0"/>
        <v>0.14427616376470914</v>
      </c>
      <c r="C14" s="139">
        <f t="shared" ref="C14:C24" si="2">Vout*A14/(Vout*A14+B14)*100</f>
        <v>12.171947615005324</v>
      </c>
      <c r="D14" s="150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5.1326677880555588E-2</v>
      </c>
      <c r="E14" s="150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2.7636078029921598E-2</v>
      </c>
      <c r="F14" s="150">
        <f>B45*'Power Loss'!$B$79*'Power Loss'!$B$49*10^(-6)*'Power Loss'!$B$54+B45*'Power Loss'!$B$80*'Power Loss'!$B$66*10^(-6)*'Power Loss'!$B$71+'Power Loss'!$B$80*'Power Loss'!$B$81*0.001</f>
        <v>3.0300857133485962E-2</v>
      </c>
      <c r="G14" s="150">
        <f t="shared" ref="G14:G41" si="3">0.7*10^(-9)*(B45)^1.35*(57.8*0.5*E45)^2.263+DCR/1000*(A14*SQRT(1+1/3*(E45/A14)^2))^2</f>
        <v>3.4282702228648869E-2</v>
      </c>
      <c r="H14" s="150">
        <f>(0.5*E45/SQRT(3))^2*'Power Loss'!$B$33/'Power Loss'!$B$31/1000</f>
        <v>7.2984849209713004E-4</v>
      </c>
      <c r="I14" s="38"/>
      <c r="J14" s="38"/>
      <c r="K14" s="38"/>
    </row>
    <row r="15" spans="1:16" s="37" customFormat="1" ht="12.95" customHeight="1">
      <c r="A15" s="142">
        <f>Imin+(Imax-Imin)*0.002</f>
        <v>6.9980000000000007E-3</v>
      </c>
      <c r="B15" s="138">
        <f t="shared" si="0"/>
        <v>0.14459735780978994</v>
      </c>
      <c r="C15" s="139">
        <f t="shared" si="2"/>
        <v>19.48355409129616</v>
      </c>
      <c r="D15" s="150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5.1571611630199618E-2</v>
      </c>
      <c r="E15" s="150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2.7691799042092038E-2</v>
      </c>
      <c r="F15" s="150">
        <f>B46*'Power Loss'!$B$79*'Power Loss'!$B$49*10^(-6)*'Power Loss'!$B$54+B46*'Power Loss'!$B$80*'Power Loss'!$B$66*10^(-6)*'Power Loss'!$B$71+'Power Loss'!$B$80*'Power Loss'!$B$81*0.001</f>
        <v>3.0301503150749816E-2</v>
      </c>
      <c r="G15" s="150">
        <f t="shared" si="3"/>
        <v>3.4302507312947289E-2</v>
      </c>
      <c r="H15" s="150">
        <f>(0.5*E46/SQRT(3))^2*'Power Loss'!$B$33/'Power Loss'!$B$31/1000</f>
        <v>7.2993667380117906E-4</v>
      </c>
      <c r="I15" s="38"/>
      <c r="J15" s="38"/>
      <c r="K15" s="38"/>
    </row>
    <row r="16" spans="1:16" s="37" customFormat="1" ht="12.95" customHeight="1">
      <c r="A16" s="142">
        <f>Imin+(Imax-Imin)*0.004</f>
        <v>1.2996000000000001E-2</v>
      </c>
      <c r="B16" s="138">
        <f t="shared" si="0"/>
        <v>0.14524668758834328</v>
      </c>
      <c r="C16" s="139">
        <f t="shared" si="2"/>
        <v>30.909491437757421</v>
      </c>
      <c r="D16" s="150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5.2063293792006041E-2</v>
      </c>
      <c r="E16" s="150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2.7806773005611882E-2</v>
      </c>
      <c r="F16" s="150">
        <f>B47*'Power Loss'!$B$79*'Power Loss'!$B$49*10^(-6)*'Power Loss'!$B$54+B47*'Power Loss'!$B$80*'Power Loss'!$B$66*10^(-6)*'Power Loss'!$B$71+'Power Loss'!$B$80*'Power Loss'!$B$81*0.001</f>
        <v>3.0302803544161254E-2</v>
      </c>
      <c r="G16" s="150">
        <f t="shared" si="3"/>
        <v>3.4343704190548975E-2</v>
      </c>
      <c r="H16" s="150">
        <f>(0.5*E47/SQRT(3))^2*'Power Loss'!$B$33/'Power Loss'!$B$31/1000</f>
        <v>7.3011305601514316E-4</v>
      </c>
      <c r="I16" s="38"/>
      <c r="J16" s="38"/>
      <c r="K16" s="38"/>
    </row>
    <row r="17" spans="1:11" s="37" customFormat="1" ht="12.95" customHeight="1">
      <c r="A17" s="142">
        <f>Imin+(Imax-Imin)*0.006</f>
        <v>1.8994E-2</v>
      </c>
      <c r="B17" s="138">
        <f t="shared" si="0"/>
        <v>0.14590529528170235</v>
      </c>
      <c r="C17" s="139">
        <f t="shared" si="2"/>
        <v>39.427040406502918</v>
      </c>
      <c r="D17" s="150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5.2557404401832368E-2</v>
      </c>
      <c r="E17" s="150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2.7926465700351809E-2</v>
      </c>
      <c r="F17" s="150">
        <f>B48*'Power Loss'!$B$79*'Power Loss'!$B$49*10^(-6)*'Power Loss'!$B$54+B48*'Power Loss'!$B$80*'Power Loss'!$B$66*10^(-6)*'Power Loss'!$B$71+'Power Loss'!$B$80*'Power Loss'!$B$81*0.001</f>
        <v>3.0304115203445395E-2</v>
      </c>
      <c r="G17" s="150">
        <f t="shared" si="3"/>
        <v>3.438702051276795E-2</v>
      </c>
      <c r="H17" s="150">
        <f>(0.5*E48/SQRT(3))^2*'Power Loss'!$B$33/'Power Loss'!$B$31/1000</f>
        <v>7.3028946330483109E-4</v>
      </c>
      <c r="I17" s="38"/>
      <c r="J17" s="38"/>
      <c r="K17" s="38"/>
    </row>
    <row r="18" spans="1:11" s="37" customFormat="1" ht="12.95" customHeight="1">
      <c r="A18" s="142">
        <f>Imin+(Imax-Imin)*0.008</f>
        <v>2.4992000000000004E-2</v>
      </c>
      <c r="B18" s="138">
        <f t="shared" si="0"/>
        <v>0.14657320809700453</v>
      </c>
      <c r="C18" s="139">
        <f t="shared" si="2"/>
        <v>46.020153805776268</v>
      </c>
      <c r="D18" s="150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5.3053954290816968E-2</v>
      </c>
      <c r="E18" s="150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2.8050888679808695E-2</v>
      </c>
      <c r="F18" s="150">
        <f>B49*'Power Loss'!$B$79*'Power Loss'!$B$49*10^(-6)*'Power Loss'!$B$54+B49*'Power Loss'!$B$80*'Power Loss'!$B$66*10^(-6)*'Power Loss'!$B$71+'Power Loss'!$B$80*'Power Loss'!$B$81*0.001</f>
        <v>3.0305438275640889E-2</v>
      </c>
      <c r="G18" s="150">
        <f t="shared" si="3"/>
        <v>3.4432460955066246E-2</v>
      </c>
      <c r="H18" s="150">
        <f>(0.5*E49/SQRT(3))^2*'Power Loss'!$B$33/'Power Loss'!$B$31/1000</f>
        <v>7.3046589567172962E-4</v>
      </c>
      <c r="I18" s="38"/>
      <c r="J18" s="38"/>
      <c r="K18" s="38"/>
    </row>
    <row r="19" spans="1:11" s="37" customFormat="1" ht="12.95" customHeight="1">
      <c r="A19" s="142">
        <f>Imin+(Imax-Imin)*0.01</f>
        <v>3.0990000000000004E-2</v>
      </c>
      <c r="B19" s="138">
        <f t="shared" si="0"/>
        <v>0.1472504537202238</v>
      </c>
      <c r="C19" s="139">
        <f t="shared" si="2"/>
        <v>51.273913752443335</v>
      </c>
      <c r="D19" s="150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5.3552954469026526E-2</v>
      </c>
      <c r="E19" s="150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2.8180053705746264E-2</v>
      </c>
      <c r="F19" s="150">
        <f>B50*'Power Loss'!$B$79*'Power Loss'!$B$49*10^(-6)*'Power Loss'!$B$54+B50*'Power Loss'!$B$80*'Power Loss'!$B$66*10^(-6)*'Power Loss'!$B$71+'Power Loss'!$B$80*'Power Loss'!$B$81*0.001</f>
        <v>3.0306772910356366E-2</v>
      </c>
      <c r="G19" s="150">
        <f t="shared" si="3"/>
        <v>3.4480030281977325E-2</v>
      </c>
      <c r="H19" s="150">
        <f>(0.5*E50/SQRT(3))^2*'Power Loss'!$B$33/'Power Loss'!$B$31/1000</f>
        <v>7.3064235311732465E-4</v>
      </c>
      <c r="I19" s="38"/>
      <c r="J19" s="38"/>
      <c r="K19" s="38"/>
    </row>
    <row r="20" spans="1:11" s="37" customFormat="1" ht="12.95" customHeight="1">
      <c r="A20" s="142">
        <f>Imin+(Imax-Imin)*0.02</f>
        <v>6.0980000000000006E-2</v>
      </c>
      <c r="B20" s="138">
        <f t="shared" si="0"/>
        <v>0.15077767784860688</v>
      </c>
      <c r="C20" s="139">
        <f t="shared" si="2"/>
        <v>66.911331149580505</v>
      </c>
      <c r="D20" s="150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5.6085108079263118E-2</v>
      </c>
      <c r="E20" s="150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2.8897436359229214E-2</v>
      </c>
      <c r="F20" s="150">
        <f>B51*'Power Loss'!$B$79*'Power Loss'!$B$49*10^(-6)*'Power Loss'!$B$54+B51*'Power Loss'!$B$80*'Power Loss'!$B$66*10^(-6)*'Power Loss'!$B$71+'Power Loss'!$B$80*'Power Loss'!$B$81*0.001</f>
        <v>3.0313624945167355E-2</v>
      </c>
      <c r="G20" s="150">
        <f t="shared" si="3"/>
        <v>3.4749983448369402E-2</v>
      </c>
      <c r="H20" s="150">
        <f>(0.5*E51/SQRT(3))^2*'Power Loss'!$B$33/'Power Loss'!$B$31/1000</f>
        <v>7.3152501657776782E-4</v>
      </c>
      <c r="I20" s="38"/>
      <c r="J20" s="38"/>
      <c r="K20" s="38"/>
    </row>
    <row r="21" spans="1:11" s="37" customFormat="1" ht="12.95" customHeight="1">
      <c r="A21" s="142">
        <f>Imin+(Imax-Imin)*0.04</f>
        <v>0.12096000000000001</v>
      </c>
      <c r="B21" s="138">
        <f t="shared" si="0"/>
        <v>0.15854949873830729</v>
      </c>
      <c r="C21" s="139">
        <f t="shared" si="2"/>
        <v>79.22976316872365</v>
      </c>
      <c r="D21" s="150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6.1340074853135064E-2</v>
      </c>
      <c r="E21" s="150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3.0695266593357771E-2</v>
      </c>
      <c r="F21" s="150">
        <f>B52*'Power Loss'!$B$79*'Power Loss'!$B$49*10^(-6)*'Power Loss'!$B$54+B52*'Power Loss'!$B$80*'Power Loss'!$B$66*10^(-6)*'Power Loss'!$B$71+'Power Loss'!$B$80*'Power Loss'!$B$81*0.001</f>
        <v>3.0328290230200703E-2</v>
      </c>
      <c r="G21" s="150">
        <f t="shared" si="3"/>
        <v>3.5452574836358074E-2</v>
      </c>
      <c r="H21" s="150">
        <f>(0.5*E52/SQRT(3))^2*'Power Loss'!$B$33/'Power Loss'!$B$31/1000</f>
        <v>7.3329222525566435E-4</v>
      </c>
      <c r="I21" s="38"/>
      <c r="J21" s="38"/>
      <c r="K21" s="38"/>
    </row>
    <row r="22" spans="1:11" s="37" customFormat="1" ht="12.95" customHeight="1">
      <c r="A22" s="142">
        <f>Imin+(Imax-Imin)*0.06</f>
        <v>0.18093999999999999</v>
      </c>
      <c r="B22" s="138">
        <f t="shared" si="0"/>
        <v>0.16730695778906371</v>
      </c>
      <c r="C22" s="139">
        <f t="shared" si="2"/>
        <v>84.393108965064727</v>
      </c>
      <c r="D22" s="150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6.6860692022516266E-2</v>
      </c>
      <c r="E22" s="150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3.2989618553230099E-2</v>
      </c>
      <c r="F22" s="150">
        <f>B53*'Power Loss'!$B$79*'Power Loss'!$B$49*10^(-6)*'Power Loss'!$B$54+B53*'Power Loss'!$B$80*'Power Loss'!$B$66*10^(-6)*'Power Loss'!$B$71+'Power Loss'!$B$80*'Power Loss'!$B$81*0.001</f>
        <v>3.0344394308581709E-2</v>
      </c>
      <c r="G22" s="150">
        <f t="shared" si="3"/>
        <v>3.6377190960553328E-2</v>
      </c>
      <c r="H22" s="150">
        <f>(0.5*E53/SQRT(3))^2*'Power Loss'!$B$33/'Power Loss'!$B$31/1000</f>
        <v>7.3506194418230522E-4</v>
      </c>
      <c r="I22" s="38"/>
      <c r="J22" s="38"/>
      <c r="K22" s="38"/>
    </row>
    <row r="23" spans="1:11" s="37" customFormat="1" ht="12.95" customHeight="1">
      <c r="A23" s="142">
        <f>Imin+(Imax-Imin)*0.08</f>
        <v>0.24092000000000002</v>
      </c>
      <c r="B23" s="138">
        <f>SUM(D23:H23)</f>
        <v>0.17727425023911578</v>
      </c>
      <c r="C23" s="139">
        <f>Vout*A23/(Vout*A23+B23)*100</f>
        <v>87.17146294545681</v>
      </c>
      <c r="D23" s="150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7.2725541333464302E-2</v>
      </c>
      <c r="E23" s="150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3.5827760308659758E-2</v>
      </c>
      <c r="F23" s="150">
        <f>B54*'Power Loss'!$B$79*'Power Loss'!$B$49*10^(-6)*'Power Loss'!$B$54+B54*'Power Loss'!$B$80*'Power Loss'!$B$66*10^(-6)*'Power Loss'!$B$71+'Power Loss'!$B$80*'Power Loss'!$B$81*0.001</f>
        <v>3.0362159840162925E-2</v>
      </c>
      <c r="G23" s="150">
        <f t="shared" si="3"/>
        <v>3.7620179838093668E-2</v>
      </c>
      <c r="H23" s="150">
        <f>(0.5*E54/SQRT(3))^2*'Power Loss'!$B$33/'Power Loss'!$B$31/1000</f>
        <v>7.3860891873510175E-4</v>
      </c>
      <c r="I23" s="38"/>
      <c r="J23" s="38"/>
      <c r="K23" s="38"/>
    </row>
    <row r="24" spans="1:11" s="29" customFormat="1" ht="12.95" customHeight="1">
      <c r="A24" s="142">
        <f>Imin+(Imax-Imin)*0.1</f>
        <v>0.30090000000000006</v>
      </c>
      <c r="B24" s="138">
        <f t="shared" si="0"/>
        <v>0.18841036865347116</v>
      </c>
      <c r="C24" s="139">
        <f t="shared" si="2"/>
        <v>88.870623504814887</v>
      </c>
      <c r="D24" s="150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7.8920389804284855E-2</v>
      </c>
      <c r="E24" s="150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3.9214990655078427E-2</v>
      </c>
      <c r="F24" s="150">
        <f>B55*'Power Loss'!$B$79*'Power Loss'!$B$49*10^(-6)*'Power Loss'!$B$54+B55*'Power Loss'!$B$80*'Power Loss'!$B$66*10^(-6)*'Power Loss'!$B$71+'Power Loss'!$B$80*'Power Loss'!$B$81*0.001</f>
        <v>3.0381857927199066E-2</v>
      </c>
      <c r="G24" s="150">
        <f t="shared" si="3"/>
        <v>3.9150073483307256E-2</v>
      </c>
      <c r="H24" s="150">
        <f>(0.5*E55/SQRT(3))^2*'Power Loss'!$B$33/'Power Loss'!$B$31/1000</f>
        <v>7.4305678360155677E-4</v>
      </c>
      <c r="I24" s="4"/>
      <c r="J24" s="4"/>
      <c r="K24" s="4"/>
    </row>
    <row r="25" spans="1:11" s="29" customFormat="1" ht="12.95" customHeight="1">
      <c r="A25" s="142">
        <f>Imin+(Imax-Imin)*0.15</f>
        <v>0.45084999999999997</v>
      </c>
      <c r="B25" s="138">
        <f t="shared" ref="B25:B38" si="4">SUM(D25:H25)</f>
        <v>0.22072535422055445</v>
      </c>
      <c r="C25" s="139">
        <f t="shared" ref="C25:C38" si="5">Vout*A25/(Vout*A25+B25)*100</f>
        <v>91.081715062570083</v>
      </c>
      <c r="D25" s="150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9.5660712219080152E-2</v>
      </c>
      <c r="E25" s="150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5.0106405872384546E-2</v>
      </c>
      <c r="F25" s="150">
        <f>B56*'Power Loss'!$B$79*'Power Loss'!$B$49*10^(-6)*'Power Loss'!$B$54+B56*'Power Loss'!$B$80*'Power Loss'!$B$66*10^(-6)*'Power Loss'!$B$71+'Power Loss'!$B$80*'Power Loss'!$B$81*0.001</f>
        <v>3.0441953158795845E-2</v>
      </c>
      <c r="G25" s="150">
        <f t="shared" si="3"/>
        <v>4.3768762581543816E-2</v>
      </c>
      <c r="H25" s="150">
        <f>(0.5*E56/SQRT(3))^2*'Power Loss'!$B$33/'Power Loss'!$B$31/1000</f>
        <v>7.4752038875010275E-4</v>
      </c>
      <c r="I25" s="4"/>
      <c r="J25" s="4"/>
      <c r="K25" s="4"/>
    </row>
    <row r="26" spans="1:11" s="29" customFormat="1" ht="12.95" customHeight="1">
      <c r="A26" s="142">
        <f>Imin+(Imax-Imin)*0.2</f>
        <v>0.60080000000000011</v>
      </c>
      <c r="B26" s="138">
        <f t="shared" si="4"/>
        <v>0.26171968933406381</v>
      </c>
      <c r="C26" s="139">
        <f t="shared" si="5"/>
        <v>91.985849545236604</v>
      </c>
      <c r="D26" s="150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0.1150158955961416</v>
      </c>
      <c r="E26" s="150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6.5176847413957351E-2</v>
      </c>
      <c r="F26" s="150">
        <f>B57*'Power Loss'!$B$79*'Power Loss'!$B$49*10^(-6)*'Power Loss'!$B$54+B57*'Power Loss'!$B$80*'Power Loss'!$B$66*10^(-6)*'Power Loss'!$B$71+'Power Loss'!$B$80*'Power Loss'!$B$81*0.001</f>
        <v>3.0524496218621508E-2</v>
      </c>
      <c r="G26" s="150">
        <f t="shared" si="3"/>
        <v>5.0250450347820372E-2</v>
      </c>
      <c r="H26" s="150">
        <f>(0.5*E57/SQRT(3))^2*'Power Loss'!$B$33/'Power Loss'!$B$31/1000</f>
        <v>7.5199975752293668E-4</v>
      </c>
      <c r="I26" s="4"/>
      <c r="J26" s="4"/>
      <c r="K26" s="4"/>
    </row>
    <row r="27" spans="1:11" s="29" customFormat="1" ht="12.95" customHeight="1">
      <c r="A27" s="142">
        <f>Imin+(Imax-Imin)*0.25</f>
        <v>0.75075000000000003</v>
      </c>
      <c r="B27" s="138">
        <f t="shared" si="4"/>
        <v>0.31478412486072099</v>
      </c>
      <c r="C27" s="139">
        <f t="shared" si="5"/>
        <v>92.262959699975539</v>
      </c>
      <c r="D27" s="150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0.13818910886513988</v>
      </c>
      <c r="E27" s="150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8.5723444691538114E-2</v>
      </c>
      <c r="F27" s="150">
        <f>B58*'Power Loss'!$B$79*'Power Loss'!$B$49*10^(-6)*'Power Loss'!$B$54+B58*'Power Loss'!$B$80*'Power Loss'!$B$66*10^(-6)*'Power Loss'!$B$71+'Power Loss'!$B$80*'Power Loss'!$B$81*0.001</f>
        <v>3.0644953386842588E-2</v>
      </c>
      <c r="G27" s="150">
        <f t="shared" si="3"/>
        <v>5.9465612037707866E-2</v>
      </c>
      <c r="H27" s="150">
        <f>(0.5*E58/SQRT(3))^2*'Power Loss'!$B$33/'Power Loss'!$B$31/1000</f>
        <v>7.610058794924907E-4</v>
      </c>
      <c r="I27" s="4"/>
      <c r="J27" s="4"/>
      <c r="K27" s="4"/>
    </row>
    <row r="28" spans="1:11" s="29" customFormat="1" ht="12.95" customHeight="1">
      <c r="A28" s="142">
        <f>Imin+(Imax-Imin)*0.35</f>
        <v>1.0506499999999999</v>
      </c>
      <c r="B28" s="138">
        <f t="shared" si="4"/>
        <v>0.44882617106689249</v>
      </c>
      <c r="C28" s="139">
        <f t="shared" si="5"/>
        <v>92.128723685869062</v>
      </c>
      <c r="D28" s="150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0.1975201139015838</v>
      </c>
      <c r="E28" s="150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0.13784625303698061</v>
      </c>
      <c r="F28" s="150">
        <f>B59*'Power Loss'!$B$79*'Power Loss'!$B$49*10^(-6)*'Power Loss'!$B$54+B59*'Power Loss'!$B$80*'Power Loss'!$B$66*10^(-6)*'Power Loss'!$B$71+'Power Loss'!$B$80*'Power Loss'!$B$81*0.001</f>
        <v>3.09E-2</v>
      </c>
      <c r="G28" s="150">
        <f t="shared" si="3"/>
        <v>8.1794271448772077E-2</v>
      </c>
      <c r="H28" s="150">
        <f>(0.5*E59/SQRT(3))^2*'Power Loss'!$B$33/'Power Loss'!$B$31/1000</f>
        <v>7.6553267955603197E-4</v>
      </c>
      <c r="I28" s="4"/>
      <c r="J28" s="4"/>
      <c r="K28" s="4"/>
    </row>
    <row r="29" spans="1:11" s="29" customFormat="1" ht="12.95" customHeight="1">
      <c r="A29" s="142">
        <f>Imin+(Imax-Imin)*0.4</f>
        <v>1.2006000000000001</v>
      </c>
      <c r="B29" s="138">
        <f t="shared" si="4"/>
        <v>0.50915347875621675</v>
      </c>
      <c r="C29" s="139">
        <f t="shared" si="5"/>
        <v>92.18148834456737</v>
      </c>
      <c r="D29" s="150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0.2273914697346075</v>
      </c>
      <c r="E29" s="150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0.15951822227711424</v>
      </c>
      <c r="F29" s="150">
        <f>B60*'Power Loss'!$B$79*'Power Loss'!$B$49*10^(-6)*'Power Loss'!$B$54+B60*'Power Loss'!$B$80*'Power Loss'!$B$66*10^(-6)*'Power Loss'!$B$71+'Power Loss'!$B$80*'Power Loss'!$B$81*0.001</f>
        <v>3.09E-2</v>
      </c>
      <c r="G29" s="150">
        <f t="shared" si="3"/>
        <v>9.0573711407517465E-2</v>
      </c>
      <c r="H29" s="150">
        <f>(0.5*E60/SQRT(3))^2*'Power Loss'!$B$33/'Power Loss'!$B$31/1000</f>
        <v>7.700753369776288E-4</v>
      </c>
      <c r="I29" s="4"/>
      <c r="J29" s="4"/>
      <c r="K29" s="4"/>
    </row>
    <row r="30" spans="1:11" s="29" customFormat="1" ht="12.95" customHeight="1">
      <c r="A30" s="142">
        <f>Imin+(Imax-Imin)*0.45</f>
        <v>1.3505499999999999</v>
      </c>
      <c r="B30" s="138">
        <f t="shared" si="4"/>
        <v>0.57404251495546088</v>
      </c>
      <c r="C30" s="139">
        <f t="shared" si="5"/>
        <v>92.165159395687482</v>
      </c>
      <c r="D30" s="150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0.25836746629634527</v>
      </c>
      <c r="E30" s="150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0.18352170090325889</v>
      </c>
      <c r="F30" s="150">
        <f>B61*'Power Loss'!$B$79*'Power Loss'!$B$49*10^(-6)*'Power Loss'!$B$54+B61*'Power Loss'!$B$80*'Power Loss'!$B$66*10^(-6)*'Power Loss'!$B$71+'Power Loss'!$B$80*'Power Loss'!$B$81*0.001</f>
        <v>3.09E-2</v>
      </c>
      <c r="G30" s="150">
        <f t="shared" si="3"/>
        <v>0.10047871388057446</v>
      </c>
      <c r="H30" s="150">
        <f>(0.5*E61/SQRT(3))^2*'Power Loss'!$B$33/'Power Loss'!$B$31/1000</f>
        <v>7.7463387528229125E-4</v>
      </c>
      <c r="I30" s="4"/>
      <c r="J30" s="4"/>
      <c r="K30" s="4"/>
    </row>
    <row r="31" spans="1:11" s="29" customFormat="1" ht="12.95" customHeight="1">
      <c r="A31" s="142">
        <f>Imin+(Imax-Imin)*0.5</f>
        <v>1.5004999999999999</v>
      </c>
      <c r="B31" s="138">
        <f t="shared" si="4"/>
        <v>0.64349694604377217</v>
      </c>
      <c r="C31" s="139">
        <f t="shared" si="5"/>
        <v>92.100451911459459</v>
      </c>
      <c r="D31" s="150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0.29045749580865193</v>
      </c>
      <c r="E31" s="150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0.20985096062637848</v>
      </c>
      <c r="F31" s="150">
        <f>B62*'Power Loss'!$B$79*'Power Loss'!$B$49*10^(-6)*'Power Loss'!$B$54+B62*'Power Loss'!$B$80*'Power Loss'!$B$66*10^(-6)*'Power Loss'!$B$71+'Power Loss'!$B$80*'Power Loss'!$B$81*0.001</f>
        <v>3.09E-2</v>
      </c>
      <c r="G31" s="150">
        <f t="shared" si="3"/>
        <v>0.11150928129070992</v>
      </c>
      <c r="H31" s="150">
        <f>(0.5*E62/SQRT(3))^2*'Power Loss'!$B$33/'Power Loss'!$B$31/1000</f>
        <v>7.7920831803178004E-4</v>
      </c>
      <c r="I31" s="4"/>
      <c r="J31" s="4"/>
      <c r="K31" s="4"/>
    </row>
    <row r="32" spans="1:11" s="29" customFormat="1" ht="12.95" customHeight="1">
      <c r="A32" s="142">
        <f>Imin+(Imax-Imin)*0.55</f>
        <v>1.6504500000000002</v>
      </c>
      <c r="B32" s="138">
        <f t="shared" si="4"/>
        <v>0.71752044233032819</v>
      </c>
      <c r="C32" s="139">
        <f t="shared" si="5"/>
        <v>92.000682214294031</v>
      </c>
      <c r="D32" s="150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0.32367096055772598</v>
      </c>
      <c r="E32" s="150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0.23850026701953192</v>
      </c>
      <c r="F32" s="150">
        <f>B63*'Power Loss'!$B$79*'Power Loss'!$B$49*10^(-6)*'Power Loss'!$B$54+B63*'Power Loss'!$B$80*'Power Loss'!$B$66*10^(-6)*'Power Loss'!$B$71+'Power Loss'!$B$80*'Power Loss'!$B$81*0.001</f>
        <v>3.09E-2</v>
      </c>
      <c r="G32" s="150">
        <f t="shared" si="3"/>
        <v>0.1236654160642455</v>
      </c>
      <c r="H32" s="150">
        <f>(0.5*E63/SQRT(3))^2*'Power Loss'!$B$33/'Power Loss'!$B$31/1000</f>
        <v>7.8379868882467866E-4</v>
      </c>
      <c r="I32" s="4"/>
      <c r="J32" s="4"/>
      <c r="K32" s="4"/>
    </row>
    <row r="33" spans="1:23" s="29" customFormat="1" ht="12.95" customHeight="1">
      <c r="A33" s="142">
        <f>Imin+(Imax-Imin)*0.6</f>
        <v>1.8003999999999998</v>
      </c>
      <c r="B33" s="138">
        <f t="shared" si="4"/>
        <v>0.79611667805960729</v>
      </c>
      <c r="C33" s="139">
        <f t="shared" si="5"/>
        <v>91.874798961699355</v>
      </c>
      <c r="D33" s="150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0.35801727290759583</v>
      </c>
      <c r="E33" s="150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0.26946387950964834</v>
      </c>
      <c r="F33" s="150">
        <f>B64*'Power Loss'!$B$79*'Power Loss'!$B$49*10^(-6)*'Power Loss'!$B$54+B64*'Power Loss'!$B$80*'Power Loss'!$B$66*10^(-6)*'Power Loss'!$B$71+'Power Loss'!$B$80*'Power Loss'!$B$81*0.001</f>
        <v>3.09E-2</v>
      </c>
      <c r="G33" s="150">
        <f t="shared" si="3"/>
        <v>0.13694712063106668</v>
      </c>
      <c r="H33" s="150">
        <f>(0.5*E64/SQRT(3))^2*'Power Loss'!$B$33/'Power Loss'!$B$31/1000</f>
        <v>7.8840501129645525E-4</v>
      </c>
      <c r="I33" s="4"/>
      <c r="J33" s="4"/>
      <c r="K33" s="4"/>
    </row>
    <row r="34" spans="1:23" s="29" customFormat="1" ht="12.95" customHeight="1">
      <c r="A34" s="142">
        <f>Imin+(Imax-Imin)*0.65</f>
        <v>1.95035</v>
      </c>
      <c r="B34" s="138">
        <f t="shared" si="4"/>
        <v>0.87928933141667021</v>
      </c>
      <c r="C34" s="139">
        <f t="shared" si="5"/>
        <v>91.729036983070799</v>
      </c>
      <c r="D34" s="150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0.39350585531362797</v>
      </c>
      <c r="E34" s="150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0.30273605136929049</v>
      </c>
      <c r="F34" s="150">
        <f>B65*'Power Loss'!$B$79*'Power Loss'!$B$49*10^(-6)*'Power Loss'!$B$54+B65*'Power Loss'!$B$80*'Power Loss'!$B$66*10^(-6)*'Power Loss'!$B$71+'Power Loss'!$B$80*'Power Loss'!$B$81*0.001</f>
        <v>3.09E-2</v>
      </c>
      <c r="G34" s="150">
        <f t="shared" si="3"/>
        <v>0.15135439742463216</v>
      </c>
      <c r="H34" s="150">
        <f>(0.5*E65/SQRT(3))^2*'Power Loss'!$B$33/'Power Loss'!$B$31/1000</f>
        <v>7.9302730911952682E-4</v>
      </c>
      <c r="I34" s="4"/>
      <c r="J34" s="4"/>
      <c r="K34" s="4"/>
    </row>
    <row r="35" spans="1:23" s="29" customFormat="1" ht="12.95" customHeight="1">
      <c r="A35" s="142">
        <f>Imin+(Imax-Imin)*0.7</f>
        <v>2.1002999999999998</v>
      </c>
      <c r="B35" s="138">
        <f t="shared" si="4"/>
        <v>0.96704208453244522</v>
      </c>
      <c r="C35" s="139">
        <f t="shared" si="5"/>
        <v>91.567872556035795</v>
      </c>
      <c r="D35" s="150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0.43014614033605553</v>
      </c>
      <c r="E35" s="150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0.33831102970840365</v>
      </c>
      <c r="F35" s="150">
        <f>B66*'Power Loss'!$B$79*'Power Loss'!$B$49*10^(-6)*'Power Loss'!$B$54+B66*'Power Loss'!$B$80*'Power Loss'!$B$66*10^(-6)*'Power Loss'!$B$71+'Power Loss'!$B$80*'Power Loss'!$B$81*0.001</f>
        <v>3.09E-2</v>
      </c>
      <c r="G35" s="150">
        <f t="shared" si="3"/>
        <v>0.16688724888198267</v>
      </c>
      <c r="H35" s="150">
        <f>(0.5*E66/SQRT(3))^2*'Power Loss'!$B$33/'Power Loss'!$B$31/1000</f>
        <v>7.9766560600332502E-4</v>
      </c>
      <c r="I35" s="4"/>
      <c r="J35" s="4"/>
      <c r="K35" s="4"/>
    </row>
    <row r="36" spans="1:23" s="29" customFormat="1" ht="12.95" customHeight="1">
      <c r="A36" s="142">
        <f>Imin+(Imax-Imin)*0.75</f>
        <v>2.2502499999999999</v>
      </c>
      <c r="B36" s="138">
        <f t="shared" si="4"/>
        <v>1.0593786234890257</v>
      </c>
      <c r="C36" s="139">
        <f t="shared" si="5"/>
        <v>91.394601722712181</v>
      </c>
      <c r="D36" s="150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0.4679475706535296</v>
      </c>
      <c r="E36" s="150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0.37618305546605135</v>
      </c>
      <c r="F36" s="150">
        <f>B67*'Power Loss'!$B$79*'Power Loss'!$B$49*10^(-6)*'Power Loss'!$B$54+B67*'Power Loss'!$B$80*'Power Loss'!$B$66*10^(-6)*'Power Loss'!$B$71+'Power Loss'!$B$80*'Power Loss'!$B$81*0.001</f>
        <v>3.09E-2</v>
      </c>
      <c r="G36" s="150">
        <f t="shared" si="3"/>
        <v>0.18354567744375036</v>
      </c>
      <c r="H36" s="150">
        <f>(0.5*E67/SQRT(3))^2*'Power Loss'!$B$33/'Power Loss'!$B$31/1000</f>
        <v>8.0231992569436276E-4</v>
      </c>
      <c r="I36" s="4"/>
      <c r="J36" s="4"/>
      <c r="K36" s="4"/>
    </row>
    <row r="37" spans="1:23" s="29" customFormat="1" ht="12.95" customHeight="1">
      <c r="A37" s="142">
        <f>Imin+(Imax-Imin)*0.8</f>
        <v>2.4002000000000003</v>
      </c>
      <c r="B37" s="138">
        <f t="shared" si="4"/>
        <v>1.1563026383249764</v>
      </c>
      <c r="C37" s="139">
        <f t="shared" si="5"/>
        <v>91.211704479937509</v>
      </c>
      <c r="D37" s="150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0.50691959907669293</v>
      </c>
      <c r="E37" s="150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0.41634636340213926</v>
      </c>
      <c r="F37" s="150">
        <f>B68*'Power Loss'!$B$79*'Power Loss'!$B$49*10^(-6)*'Power Loss'!$B$54+B68*'Power Loss'!$B$80*'Power Loss'!$B$66*10^(-6)*'Power Loss'!$B$71+'Power Loss'!$B$80*'Power Loss'!$B$81*0.001</f>
        <v>3.09E-2</v>
      </c>
      <c r="G37" s="150">
        <f t="shared" si="3"/>
        <v>0.2013296855541678</v>
      </c>
      <c r="H37" s="150">
        <f>(0.5*E68/SQRT(3))^2*'Power Loss'!$B$33/'Power Loss'!$B$31/1000</f>
        <v>8.0699029197629638E-4</v>
      </c>
      <c r="I37" s="4"/>
      <c r="J37" s="4"/>
      <c r="K37" s="4"/>
    </row>
    <row r="38" spans="1:23" s="29" customFormat="1" ht="12.95" customHeight="1">
      <c r="A38" s="142">
        <f>Imin+(Imax-Imin)*0.85</f>
        <v>2.5501499999999999</v>
      </c>
      <c r="B38" s="138">
        <f t="shared" si="4"/>
        <v>1.2578178230406425</v>
      </c>
      <c r="C38" s="139">
        <f t="shared" si="5"/>
        <v>91.02108196262688</v>
      </c>
      <c r="D38" s="150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0.54707168856177313</v>
      </c>
      <c r="E38" s="150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0.4587951820891224</v>
      </c>
      <c r="F38" s="150">
        <f>B69*'Power Loss'!$B$79*'Power Loss'!$B$49*10^(-6)*'Power Loss'!$B$54+B69*'Power Loss'!$B$80*'Power Loss'!$B$66*10^(-6)*'Power Loss'!$B$71+'Power Loss'!$B$80*'Power Loss'!$B$81*0.001</f>
        <v>3.09E-2</v>
      </c>
      <c r="G38" s="150">
        <f t="shared" si="3"/>
        <v>0.22023927566107715</v>
      </c>
      <c r="H38" s="150">
        <f>(0.5*E69/SQRT(3))^2*'Power Loss'!$B$33/'Power Loss'!$B$31/1000</f>
        <v>8.11676728669995E-4</v>
      </c>
      <c r="I38" s="4"/>
      <c r="J38" s="4"/>
      <c r="K38" s="4"/>
    </row>
    <row r="39" spans="1:23" s="29" customFormat="1" ht="12.95" customHeight="1">
      <c r="A39" s="142">
        <f>Imin+(Imax-Imin)*0.9</f>
        <v>2.7000999999999999</v>
      </c>
      <c r="B39" s="138">
        <f>SUM(D39:H39)</f>
        <v>1.3639278756034781</v>
      </c>
      <c r="C39" s="139">
        <f>Vout*A39/(Vout*A39+B39)*100</f>
        <v>90.824215455732073</v>
      </c>
      <c r="D39" s="150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0.58841331222420112</v>
      </c>
      <c r="E39" s="150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0.50352373390370408</v>
      </c>
      <c r="F39" s="150">
        <f>B70*'Power Loss'!$B$79*'Power Loss'!$B$49*10^(-6)*'Power Loss'!$B$54+B70*'Power Loss'!$B$80*'Power Loss'!$B$66*10^(-6)*'Power Loss'!$B$71+'Power Loss'!$B$80*'Power Loss'!$B$81*0.001</f>
        <v>3.09E-2</v>
      </c>
      <c r="G39" s="150">
        <f t="shared" si="3"/>
        <v>0.24027445021593924</v>
      </c>
      <c r="H39" s="150">
        <f>(0.5*E70/SQRT(3))^2*'Power Loss'!$B$33/'Power Loss'!$B$31/1000</f>
        <v>8.1637925963360303E-4</v>
      </c>
      <c r="I39" s="4"/>
      <c r="J39" s="4"/>
      <c r="K39" s="4"/>
    </row>
    <row r="40" spans="1:23" ht="15" customHeight="1">
      <c r="A40" s="142">
        <f>Imin+(Imax-Imin)*0.95</f>
        <v>2.85005</v>
      </c>
      <c r="B40" s="138">
        <f>SUM(D40:H40)</f>
        <v>1.474636497953371</v>
      </c>
      <c r="C40" s="139">
        <f>Vout*A40/(Vout*A40+B40)*100</f>
        <v>90.622275727425446</v>
      </c>
      <c r="D40" s="150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0.63095395335224902</v>
      </c>
      <c r="E40" s="150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0.55052623501851627</v>
      </c>
      <c r="F40" s="150">
        <f>B71*'Power Loss'!$B$79*'Power Loss'!$B$49*10^(-6)*'Power Loss'!$B$54+B71*'Power Loss'!$B$80*'Power Loss'!$B$66*10^(-6)*'Power Loss'!$B$71+'Power Loss'!$B$80*'Power Loss'!$B$81*0.001</f>
        <v>3.09E-2</v>
      </c>
      <c r="G40" s="150">
        <f t="shared" si="3"/>
        <v>0.26143521167384315</v>
      </c>
      <c r="H40" s="150">
        <f>(0.5*E71/SQRT(3))^2*'Power Loss'!$B$33/'Power Loss'!$B$31/1000</f>
        <v>8.2109790876260707E-4</v>
      </c>
      <c r="I40" s="4"/>
      <c r="J40" s="4"/>
      <c r="K40" s="4"/>
    </row>
    <row r="41" spans="1:23" ht="14.25" customHeight="1">
      <c r="A41" s="142">
        <f>Imin+(Imax-Imin)*1</f>
        <v>3</v>
      </c>
      <c r="B41" s="138">
        <f>SUM(D41:H41)</f>
        <v>1.5756662580540945</v>
      </c>
      <c r="C41" s="139">
        <f>Vout*A41/(Vout*A41+B41)*100</f>
        <v>90.494100004646981</v>
      </c>
      <c r="D41" s="150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0.66120507010451723</v>
      </c>
      <c r="E41" s="150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0.60630959096002857</v>
      </c>
      <c r="F41" s="150">
        <f>B72*'Power Loss'!$B$79*'Power Loss'!$B$49*10^(-6)*'Power Loss'!$B$54+B72*'Power Loss'!$B$80*'Power Loss'!$B$66*10^(-6)*'Power Loss'!$B$71+'Power Loss'!$B$80*'Power Loss'!$B$81*0.001</f>
        <v>3.09E-2</v>
      </c>
      <c r="G41" s="150">
        <f t="shared" si="3"/>
        <v>0.2765218660731063</v>
      </c>
      <c r="H41" s="150">
        <f>(0.5*E72/SQRT(3))^2*'Power Loss'!$B$33/'Power Loss'!$B$31/1000</f>
        <v>7.2973091644254538E-4</v>
      </c>
      <c r="I41" s="4"/>
    </row>
    <row r="42" spans="1:23" ht="12.95" customHeight="1">
      <c r="A42" s="144"/>
      <c r="B42" s="144"/>
      <c r="C42" s="144"/>
      <c r="D42" s="144"/>
      <c r="E42" s="144"/>
      <c r="F42" s="144"/>
      <c r="G42" s="144"/>
      <c r="H42" s="144"/>
      <c r="I42" s="118"/>
      <c r="J42" s="118"/>
      <c r="K42" s="118"/>
      <c r="L42" s="118"/>
      <c r="M42" s="118"/>
      <c r="N42" s="118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.95" customHeight="1">
      <c r="A43" s="144" t="s">
        <v>266</v>
      </c>
      <c r="B43" s="144" t="s">
        <v>267</v>
      </c>
      <c r="C43" s="144" t="s">
        <v>268</v>
      </c>
      <c r="D43" s="144" t="s">
        <v>116</v>
      </c>
      <c r="E43" s="144" t="s">
        <v>117</v>
      </c>
      <c r="F43" s="144" t="s">
        <v>118</v>
      </c>
      <c r="G43" s="144" t="s">
        <v>119</v>
      </c>
      <c r="H43" s="144"/>
      <c r="I43" s="103"/>
      <c r="J43" s="103"/>
      <c r="K43" s="103"/>
      <c r="L43" s="103"/>
      <c r="M43" s="118"/>
      <c r="N43" s="118"/>
      <c r="O43" s="17"/>
      <c r="P43" s="17"/>
      <c r="Q43" s="17"/>
      <c r="R43" s="17"/>
      <c r="S43" s="17"/>
      <c r="T43" s="17"/>
      <c r="U43" s="17"/>
      <c r="V43" s="17"/>
      <c r="W43" s="17"/>
    </row>
    <row r="44" spans="1:23" ht="12.95" customHeight="1">
      <c r="A44" s="144">
        <f>IF(OR('Power Loss'!$B$17="AP63206",'Power Loss'!$B$17="AP63356"), 0, IF(A13&gt;$E$9, 0, 2/((Vin-Vout)*Vout/(2*Vin*Lout*0.000001*($E$9-A13)))))</f>
        <v>4.4396949707602343E-6</v>
      </c>
      <c r="B44" s="140">
        <f t="shared" ref="B44:B72" si="6">1/(1000/(Fs*1000)+A44*1000)</f>
        <v>150.10693934373455</v>
      </c>
      <c r="C44" s="142">
        <f>Imin</f>
        <v>1E-3</v>
      </c>
      <c r="D44" s="144">
        <f t="shared" ref="D44:D53" si="7">Vout/Vin*(1+(Ron_l+DCR)/1000*A13/Vout)/(1-A13*(Ron_u-Ron_l)/1000/Vin)</f>
        <v>0.20833753007474587</v>
      </c>
      <c r="E44" s="144">
        <f t="shared" ref="E44:E54" si="8">(Vin-Vout)/Lout/10^(-6)*D44/Fs/10^3</f>
        <v>1.8715901046903887</v>
      </c>
      <c r="F44" s="144">
        <f>A13*SQRT(D44)*SQRT(1+1/3*(E44/2/A13)^2)</f>
        <v>0.24660655527672981</v>
      </c>
      <c r="G44" s="144">
        <f>A13*SQRT(1-D44)*SQRT(1+1/3*(E44/2/A13)^2)</f>
        <v>0.48071855961583898</v>
      </c>
      <c r="H44" s="144"/>
      <c r="I44" s="103"/>
      <c r="J44" s="119" t="s">
        <v>120</v>
      </c>
      <c r="K44" s="103">
        <v>1</v>
      </c>
      <c r="L44" s="103" t="s">
        <v>5</v>
      </c>
      <c r="M44" s="118"/>
      <c r="N44" s="118"/>
      <c r="O44" s="17"/>
      <c r="P44" s="17"/>
      <c r="Q44" s="17"/>
      <c r="R44" s="17"/>
      <c r="S44" s="17"/>
      <c r="T44" s="17"/>
      <c r="U44" s="17"/>
      <c r="V44" s="17"/>
      <c r="W44" s="17"/>
    </row>
    <row r="45" spans="1:23" ht="12.95" customHeight="1">
      <c r="A45" s="144">
        <f>IF(OR('Power Loss'!$B$17="AP63206",'Power Loss'!$B$17="AP63356"), 0, IF(A14&gt;$E$9, 0, 2/((Vin-Vout)*Vout/(2*Vin*Lout*0.000001*($E$9-A14)))))</f>
        <v>4.4254512991812869E-6</v>
      </c>
      <c r="B45" s="140">
        <f t="shared" si="6"/>
        <v>150.42856674298173</v>
      </c>
      <c r="C45" s="142">
        <f>Imin+(Imax-Imin)*0.001</f>
        <v>3.9990000000000008E-3</v>
      </c>
      <c r="D45" s="144">
        <f t="shared" si="7"/>
        <v>0.20835011619184907</v>
      </c>
      <c r="E45" s="144">
        <f t="shared" si="8"/>
        <v>1.8717031714634198</v>
      </c>
      <c r="F45" s="144">
        <f t="shared" ref="F45:F72" si="9">A14*SQRT(D45)*SQRT(1+1/3*(E45/2/A14)^2)</f>
        <v>0.24663523508943253</v>
      </c>
      <c r="G45" s="144">
        <f t="shared" ref="G45:G72" si="10">A14*SQRT(1-D45)*SQRT(1+1/3*(E45/2/A14)^2)</f>
        <v>0.48075612284424674</v>
      </c>
      <c r="H45" s="144"/>
      <c r="I45" s="103"/>
      <c r="J45" s="119" t="s">
        <v>121</v>
      </c>
      <c r="K45" s="103">
        <v>5</v>
      </c>
      <c r="L45" s="103" t="s">
        <v>122</v>
      </c>
      <c r="M45" s="118"/>
      <c r="N45" s="118"/>
      <c r="O45" s="17"/>
      <c r="P45" s="17"/>
      <c r="Q45" s="17"/>
      <c r="R45" s="17"/>
      <c r="S45" s="17"/>
      <c r="T45" s="17"/>
      <c r="U45" s="17"/>
      <c r="V45" s="17"/>
      <c r="W45" s="17"/>
    </row>
    <row r="46" spans="1:23" ht="12.95" customHeight="1">
      <c r="A46" s="144">
        <f>IF(OR('Power Loss'!$B$17="AP63206",'Power Loss'!$B$17="AP63356"), 0, IF(A15&gt;$E$9, 0, 2/((Vin-Vout)*Vout/(2*Vin*Lout*0.000001*($E$9-A15)))))</f>
        <v>4.4112076276023396E-6</v>
      </c>
      <c r="B46" s="140">
        <f t="shared" si="6"/>
        <v>150.75157537490921</v>
      </c>
      <c r="C46" s="142">
        <f>Imin+(Imax-Imin)*0.002</f>
        <v>6.9980000000000007E-3</v>
      </c>
      <c r="D46" s="144">
        <f t="shared" si="7"/>
        <v>0.2083627024433532</v>
      </c>
      <c r="E46" s="144">
        <f t="shared" si="8"/>
        <v>1.8718162394438349</v>
      </c>
      <c r="F46" s="144">
        <f t="shared" si="9"/>
        <v>0.2466715125939514</v>
      </c>
      <c r="G46" s="144">
        <f t="shared" si="10"/>
        <v>0.48080849243652479</v>
      </c>
      <c r="H46" s="144"/>
      <c r="I46" s="103"/>
      <c r="J46" s="103" t="s">
        <v>86</v>
      </c>
      <c r="K46" s="103">
        <v>80</v>
      </c>
      <c r="L46" s="103" t="s">
        <v>123</v>
      </c>
      <c r="M46" s="118"/>
      <c r="N46" s="118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39" customFormat="1" ht="12.95" customHeight="1">
      <c r="A47" s="144">
        <f>IF(OR('Power Loss'!$B$17="AP63206",'Power Loss'!$B$17="AP63356"), 0, IF(A16&gt;$E$9, 0, 2/((Vin-Vout)*Vout/(2*Vin*Lout*0.000001*($E$9-A16)))))</f>
        <v>4.3827202844444448E-6</v>
      </c>
      <c r="B47" s="140">
        <f t="shared" si="6"/>
        <v>151.40177208062821</v>
      </c>
      <c r="C47" s="142">
        <f>Imin+(Imax-Imin)*0.004</f>
        <v>1.2996000000000001E-2</v>
      </c>
      <c r="D47" s="144">
        <f t="shared" si="7"/>
        <v>0.20838787534957304</v>
      </c>
      <c r="E47" s="144">
        <f t="shared" si="8"/>
        <v>1.8720423790268976</v>
      </c>
      <c r="F47" s="144">
        <f t="shared" si="9"/>
        <v>0.24676685207928761</v>
      </c>
      <c r="G47" s="144">
        <f t="shared" si="10"/>
        <v>0.4809576271740954</v>
      </c>
      <c r="H47" s="144"/>
      <c r="I47" s="118"/>
      <c r="J47" s="118"/>
      <c r="K47" s="118"/>
      <c r="L47" s="118"/>
      <c r="M47" s="118"/>
      <c r="N47" s="118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39" customFormat="1" ht="12.95" customHeight="1">
      <c r="A48" s="144">
        <f>IF(OR('Power Loss'!$B$17="AP63206",'Power Loss'!$B$17="AP63356"), 0, IF(A17&gt;$E$9, 0, 2/((Vin-Vout)*Vout/(2*Vin*Lout*0.000001*($E$9-A17)))))</f>
        <v>4.3542329412865509E-6</v>
      </c>
      <c r="B48" s="140">
        <f t="shared" si="6"/>
        <v>152.05760172269834</v>
      </c>
      <c r="C48" s="142">
        <f>Imin+(Imax-Imin)*0.006</f>
        <v>1.8994E-2</v>
      </c>
      <c r="D48" s="144">
        <f t="shared" si="7"/>
        <v>0.2084130487934226</v>
      </c>
      <c r="E48" s="144">
        <f t="shared" si="8"/>
        <v>1.8722685234397305</v>
      </c>
      <c r="F48" s="144">
        <f t="shared" si="9"/>
        <v>0.24689254954244977</v>
      </c>
      <c r="G48" s="144">
        <f t="shared" si="10"/>
        <v>0.48116590313358798</v>
      </c>
      <c r="H48" s="144"/>
      <c r="I48" s="118" t="s">
        <v>124</v>
      </c>
      <c r="J48" s="118"/>
      <c r="K48" s="118"/>
      <c r="L48" s="118"/>
      <c r="M48" s="118"/>
      <c r="N48" s="118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39" customFormat="1" ht="12.95" customHeight="1">
      <c r="A49" s="144">
        <f>IF(OR('Power Loss'!$B$17="AP63206",'Power Loss'!$B$17="AP63356"), 0, IF(A18&gt;$E$9, 0, 2/((Vin-Vout)*Vout/(2*Vin*Lout*0.000001*($E$9-A18)))))</f>
        <v>4.3257455981286554E-6</v>
      </c>
      <c r="B49" s="140">
        <f t="shared" si="6"/>
        <v>152.7191378204443</v>
      </c>
      <c r="C49" s="142">
        <f>Imin+(Imax-Imin)*0.008</f>
        <v>2.4992000000000004E-2</v>
      </c>
      <c r="D49" s="144">
        <f t="shared" si="7"/>
        <v>0.20843822277491914</v>
      </c>
      <c r="E49" s="144">
        <f t="shared" si="8"/>
        <v>1.8724946726824889</v>
      </c>
      <c r="F49" s="144">
        <f t="shared" si="9"/>
        <v>0.24704856964549946</v>
      </c>
      <c r="G49" s="144">
        <f t="shared" si="10"/>
        <v>0.4814332379144638</v>
      </c>
      <c r="H49" s="144"/>
      <c r="I49" s="118" t="s">
        <v>125</v>
      </c>
      <c r="J49" s="118"/>
      <c r="K49" s="118"/>
      <c r="L49" s="118"/>
      <c r="M49" s="118"/>
      <c r="N49" s="118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39" customFormat="1" ht="12.95" customHeight="1">
      <c r="A50" s="144">
        <f>IF(OR('Power Loss'!$B$17="AP63206",'Power Loss'!$B$17="AP63356"), 0, IF(A19&gt;$E$9, 0, 2/((Vin-Vout)*Vout/(2*Vin*Lout*0.000001*($E$9-A19)))))</f>
        <v>4.2972582549707606E-6</v>
      </c>
      <c r="B50" s="140">
        <f t="shared" si="6"/>
        <v>153.38645517818293</v>
      </c>
      <c r="C50" s="142">
        <f>Imin+(Imax-Imin)*0.01</f>
        <v>3.0990000000000004E-2</v>
      </c>
      <c r="D50" s="144">
        <f t="shared" si="7"/>
        <v>0.20846339729407984</v>
      </c>
      <c r="E50" s="144">
        <f t="shared" si="8"/>
        <v>1.8727208267553275</v>
      </c>
      <c r="F50" s="144">
        <f t="shared" si="9"/>
        <v>0.24723486597454433</v>
      </c>
      <c r="G50" s="144">
        <f t="shared" si="10"/>
        <v>0.48175952755859314</v>
      </c>
      <c r="H50" s="144"/>
      <c r="I50" s="101" t="s">
        <v>127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39" customFormat="1" ht="12.95" customHeight="1">
      <c r="A51" s="144">
        <f>IF(OR('Power Loss'!$B$17="AP63206",'Power Loss'!$B$17="AP63356"), 0, IF(A20&gt;$E$9, 0, 2/((Vin-Vout)*Vout/(2*Vin*Lout*0.000001*($E$9-A20)))))</f>
        <v>4.154821539181287E-6</v>
      </c>
      <c r="B51" s="140">
        <f t="shared" si="6"/>
        <v>156.81247258367762</v>
      </c>
      <c r="C51" s="142">
        <f>Imin+(Imax-Imin)*0.02</f>
        <v>6.0980000000000006E-2</v>
      </c>
      <c r="D51" s="144">
        <f t="shared" si="7"/>
        <v>0.20858927795544921</v>
      </c>
      <c r="E51" s="144">
        <f t="shared" si="8"/>
        <v>1.8738516695761396</v>
      </c>
      <c r="F51" s="144">
        <f t="shared" si="9"/>
        <v>0.248618104398275</v>
      </c>
      <c r="G51" s="144">
        <f t="shared" si="10"/>
        <v>0.48427017789299764</v>
      </c>
      <c r="H51" s="144"/>
      <c r="I51" s="101" t="s">
        <v>128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39" customFormat="1" ht="12.95" customHeight="1">
      <c r="A52" s="144">
        <f>IF(OR('Power Loss'!$B$17="AP63206",'Power Loss'!$B$17="AP63356"), 0, IF(A21&gt;$E$9, 0, 2/((Vin-Vout)*Vout/(2*Vin*Lout*0.000001*($E$9-A21)))))</f>
        <v>3.8699481076023397E-6</v>
      </c>
      <c r="B52" s="140">
        <f t="shared" si="6"/>
        <v>164.14511510035166</v>
      </c>
      <c r="C52" s="142">
        <f>Imin+(Imax-Imin)*0.04</f>
        <v>0.12096000000000001</v>
      </c>
      <c r="D52" s="144">
        <f t="shared" si="7"/>
        <v>0.20884107961290807</v>
      </c>
      <c r="E52" s="144">
        <f t="shared" si="8"/>
        <v>1.8761137175627676</v>
      </c>
      <c r="F52" s="144">
        <f t="shared" si="9"/>
        <v>0.25359857451643047</v>
      </c>
      <c r="G52" s="144">
        <f t="shared" si="10"/>
        <v>0.49359495004051662</v>
      </c>
      <c r="H52" s="144"/>
      <c r="I52" s="16" t="s">
        <v>129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39" customFormat="1" ht="12.95" customHeight="1">
      <c r="A53" s="144">
        <f>IF(OR('Power Loss'!$B$17="AP63206",'Power Loss'!$B$17="AP63356"), 0, IF(A22&gt;$E$9, 0, 2/((Vin-Vout)*Vout/(2*Vin*Lout*0.000001*($E$9-A22)))))</f>
        <v>3.5850746760233927E-6</v>
      </c>
      <c r="B53" s="140">
        <f t="shared" si="6"/>
        <v>172.19715429085434</v>
      </c>
      <c r="C53" s="142">
        <f>Imin+(Imax-Imin)*0.06</f>
        <v>0.18093999999999999</v>
      </c>
      <c r="D53" s="144">
        <f t="shared" si="7"/>
        <v>0.2090929350643555</v>
      </c>
      <c r="E53" s="144">
        <f t="shared" si="8"/>
        <v>1.8783762488050852</v>
      </c>
      <c r="F53" s="144">
        <f t="shared" si="9"/>
        <v>0.26138870795255131</v>
      </c>
      <c r="G53" s="144">
        <f t="shared" si="10"/>
        <v>0.50836994858844453</v>
      </c>
      <c r="H53" s="144"/>
      <c r="I53" s="16" t="s">
        <v>129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39" customFormat="1" ht="12.95" customHeight="1">
      <c r="A54" s="144">
        <f>IF(OR('Power Loss'!$B$17="AP63206",'Power Loss'!$B$17="AP63356"), 0, IF(A23&gt;$E$9, 0, 2/((Vin-Vout)*Vout/(2*Vin*Lout*0.000001*($E$9-A23)))))</f>
        <v>3.300201244444445E-6</v>
      </c>
      <c r="B54" s="140">
        <f t="shared" si="6"/>
        <v>181.07992008146374</v>
      </c>
      <c r="C54" s="142">
        <f>Imin+(Imax-Imin)*0.08</f>
        <v>0.24092000000000002</v>
      </c>
      <c r="D54" s="144">
        <f t="shared" ref="D54:D72" si="11">Vout/Vin*(1+(Ron_l+DCR)/1000*A24/Vout)/(1-A24*(Ron_u-Ron_l)/1000/Vin)</f>
        <v>0.20959680741818495</v>
      </c>
      <c r="E54" s="144">
        <f t="shared" si="8"/>
        <v>1.8829027616763663</v>
      </c>
      <c r="F54" s="144">
        <f t="shared" si="9"/>
        <v>0.27219393817491799</v>
      </c>
      <c r="G54" s="144">
        <f t="shared" si="10"/>
        <v>0.52857967603273348</v>
      </c>
      <c r="H54" s="144"/>
      <c r="I54" s="16" t="s">
        <v>131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39" customFormat="1" ht="12.95" customHeight="1">
      <c r="A55" s="144">
        <f>IF(OR('Power Loss'!$B$17="AP63206",'Power Loss'!$B$17="AP63356"), 0, IF(A24&gt;$E$9, 0, 2/((Vin-Vout)*Vout/(2*Vin*Lout*0.000001*($E$9-A24)))))</f>
        <v>3.0153278128654977E-6</v>
      </c>
      <c r="B55" s="140">
        <f t="shared" si="6"/>
        <v>190.92896359953374</v>
      </c>
      <c r="C55" s="142">
        <f>Imin+(Imax-Imin)*0.1</f>
        <v>0.30090000000000006</v>
      </c>
      <c r="D55" s="144">
        <f t="shared" si="11"/>
        <v>0.21022695075890777</v>
      </c>
      <c r="E55" s="144">
        <f t="shared" ref="E55:E71" si="12">(Vin-Vout)/Lout/10^(-6)*D55/Fs/10^3</f>
        <v>1.8885636238388879</v>
      </c>
      <c r="F55" s="144">
        <f t="shared" si="9"/>
        <v>0.28551417328821416</v>
      </c>
      <c r="G55" s="144">
        <f t="shared" si="10"/>
        <v>0.55339423586821934</v>
      </c>
      <c r="H55" s="144"/>
      <c r="I55" s="16" t="s">
        <v>133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39" customFormat="1" ht="12.95" customHeight="1">
      <c r="A56" s="144">
        <f>IF(OR('Power Loss'!$B$17="AP63206",'Power Loss'!$B$17="AP63356"), 0, IF(A25&gt;$E$9, 0, 2/((Vin-Vout)*Vout/(2*Vin*Lout*0.000001*($E$9-A25)))))</f>
        <v>2.3031442339181289E-6</v>
      </c>
      <c r="B56" s="140">
        <f t="shared" si="6"/>
        <v>220.97657939792396</v>
      </c>
      <c r="C56" s="142">
        <f>Imin+(Imax-Imin)*0.15</f>
        <v>0.45084999999999997</v>
      </c>
      <c r="D56" s="144">
        <f t="shared" si="11"/>
        <v>0.21085743090528722</v>
      </c>
      <c r="E56" s="144">
        <f t="shared" si="12"/>
        <v>1.8942275116787035</v>
      </c>
      <c r="F56" s="144">
        <f t="shared" si="9"/>
        <v>0.32543536919936084</v>
      </c>
      <c r="G56" s="144">
        <f t="shared" si="10"/>
        <v>0.6295758083615639</v>
      </c>
      <c r="H56" s="144"/>
      <c r="I56" s="16" t="s">
        <v>135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39" customFormat="1" ht="12.95" customHeight="1">
      <c r="A57" s="144">
        <f>IF(OR('Power Loss'!$B$17="AP63206",'Power Loss'!$B$17="AP63356"), 0, IF(A26&gt;$E$9, 0, 2/((Vin-Vout)*Vout/(2*Vin*Lout*0.000001*($E$9-A26)))))</f>
        <v>1.59096065497076E-6</v>
      </c>
      <c r="B57" s="140">
        <f t="shared" si="6"/>
        <v>262.24810931075382</v>
      </c>
      <c r="C57" s="142">
        <f>Imin+(Imax-Imin)*0.2</f>
        <v>0.60080000000000011</v>
      </c>
      <c r="D57" s="144">
        <f t="shared" si="11"/>
        <v>0.21148824812742464</v>
      </c>
      <c r="E57" s="144">
        <f t="shared" si="12"/>
        <v>1.8998944276222549</v>
      </c>
      <c r="F57" s="144">
        <f t="shared" si="9"/>
        <v>0.37410503594694317</v>
      </c>
      <c r="G57" s="144">
        <f t="shared" si="10"/>
        <v>0.72236138122709126</v>
      </c>
      <c r="H57" s="144"/>
      <c r="I57" s="16" t="s">
        <v>137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39" customFormat="1" ht="12.95" customHeight="1">
      <c r="A58" s="144">
        <f>IF(OR('Power Loss'!$B$17="AP63206",'Power Loss'!$B$17="AP63356"), 0, IF(A27&gt;$E$9, 0, 2/((Vin-Vout)*Vout/(2*Vin*Lout*0.000001*($E$9-A27)))))</f>
        <v>8.787770760233921E-7</v>
      </c>
      <c r="B58" s="140">
        <f t="shared" si="6"/>
        <v>322.47669342129439</v>
      </c>
      <c r="C58" s="142">
        <f>Imin+(Imax-Imin)*0.25</f>
        <v>0.75075000000000003</v>
      </c>
      <c r="D58" s="144">
        <f t="shared" si="11"/>
        <v>0.21275089488082347</v>
      </c>
      <c r="E58" s="144">
        <f t="shared" si="12"/>
        <v>1.9112373535393126</v>
      </c>
      <c r="F58" s="144">
        <f t="shared" si="9"/>
        <v>0.42973679799177156</v>
      </c>
      <c r="G58" s="144">
        <f t="shared" si="10"/>
        <v>0.82665240503416881</v>
      </c>
      <c r="H58" s="144"/>
      <c r="I58" s="16" t="s">
        <v>139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39" customFormat="1" ht="12.95" customHeight="1">
      <c r="A59" s="144">
        <f>IF(OR('Power Loss'!$B$17="AP63206",'Power Loss'!$B$17="AP63356"), 0, IF(A28&gt;$E$9, 0, 2/((Vin-Vout)*Vout/(2*Vin*Lout*0.000001*($E$9-A28)))))</f>
        <v>0</v>
      </c>
      <c r="B59" s="140">
        <f t="shared" si="6"/>
        <v>450</v>
      </c>
      <c r="C59" s="142">
        <f>Imin+(Imax-Imin)*0.35</f>
        <v>1.0506499999999999</v>
      </c>
      <c r="D59" s="144">
        <f t="shared" si="11"/>
        <v>0.21338272495373359</v>
      </c>
      <c r="E59" s="144">
        <f t="shared" si="12"/>
        <v>1.9169133683786945</v>
      </c>
      <c r="F59" s="144">
        <f t="shared" si="9"/>
        <v>0.54853112173984631</v>
      </c>
      <c r="G59" s="144">
        <f t="shared" si="10"/>
        <v>1.053181894453773</v>
      </c>
      <c r="H59" s="144"/>
      <c r="I59" s="16" t="s">
        <v>141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39" customFormat="1" ht="12.95" customHeight="1">
      <c r="A60" s="144">
        <f>IF(OR('Power Loss'!$B$17="AP63206",'Power Loss'!$B$17="AP63356"), 0, IF(A29&gt;$E$9, 0, 2/((Vin-Vout)*Vout/(2*Vin*Lout*0.000001*($E$9-A29)))))</f>
        <v>0</v>
      </c>
      <c r="B60" s="140">
        <f t="shared" si="6"/>
        <v>450</v>
      </c>
      <c r="C60" s="142">
        <f>Imin+(Imax-Imin)*0.4</f>
        <v>1.2006000000000001</v>
      </c>
      <c r="D60" s="144">
        <f t="shared" si="11"/>
        <v>0.21401489318569974</v>
      </c>
      <c r="E60" s="144">
        <f t="shared" si="12"/>
        <v>1.9225924210535674</v>
      </c>
      <c r="F60" s="144">
        <f t="shared" si="9"/>
        <v>0.61189275291854883</v>
      </c>
      <c r="G60" s="144">
        <f t="shared" si="10"/>
        <v>1.1726285659648634</v>
      </c>
      <c r="H60" s="144"/>
      <c r="I60" s="16" t="s">
        <v>143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39" customFormat="1" ht="12.95" customHeight="1">
      <c r="A61" s="144">
        <f>IF(OR('Power Loss'!$B$17="AP63206",'Power Loss'!$B$17="AP63356"), 0, IF(A30&gt;$E$9, 0, 2/((Vin-Vout)*Vout/(2*Vin*Lout*0.000001*($E$9-A30)))))</f>
        <v>0</v>
      </c>
      <c r="B61" s="140">
        <f t="shared" si="6"/>
        <v>450</v>
      </c>
      <c r="C61" s="142">
        <f>Imin+(Imax-Imin)*0.45</f>
        <v>1.3505499999999999</v>
      </c>
      <c r="D61" s="144">
        <f t="shared" si="11"/>
        <v>0.21464739984827169</v>
      </c>
      <c r="E61" s="144">
        <f t="shared" si="12"/>
        <v>1.9282745140033866</v>
      </c>
      <c r="F61" s="144">
        <f t="shared" si="9"/>
        <v>0.67677393670898844</v>
      </c>
      <c r="G61" s="144">
        <f t="shared" si="10"/>
        <v>1.2945330784511977</v>
      </c>
      <c r="H61" s="144"/>
      <c r="I61" s="16" t="s">
        <v>145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39" customFormat="1" ht="12.95" customHeight="1">
      <c r="A62" s="144">
        <f>IF(OR('Power Loss'!$B$17="AP63206",'Power Loss'!$B$17="AP63356"), 0, IF(A31&gt;$E$9, 0, 2/((Vin-Vout)*Vout/(2*Vin*Lout*0.000001*($E$9-A31)))))</f>
        <v>0</v>
      </c>
      <c r="B62" s="140">
        <f t="shared" si="6"/>
        <v>450</v>
      </c>
      <c r="C62" s="142">
        <f>Imin+(Imax-Imin)*0.5</f>
        <v>1.5004999999999999</v>
      </c>
      <c r="D62" s="144">
        <f t="shared" si="11"/>
        <v>0.21528024521328976</v>
      </c>
      <c r="E62" s="144">
        <f t="shared" si="12"/>
        <v>1.9339596496702156</v>
      </c>
      <c r="F62" s="144">
        <f t="shared" si="9"/>
        <v>0.74283429446211602</v>
      </c>
      <c r="G62" s="144">
        <f t="shared" si="10"/>
        <v>1.4182315707188589</v>
      </c>
      <c r="H62" s="144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39" customFormat="1" ht="12.95" customHeight="1">
      <c r="A63" s="144">
        <f>IF(OR('Power Loss'!$B$17="AP63206",'Power Loss'!$B$17="AP63356"), 0, IF(A32&gt;$E$9, 0, 2/((Vin-Vout)*Vout/(2*Vin*Lout*0.000001*($E$9-A32)))))</f>
        <v>0</v>
      </c>
      <c r="B63" s="140">
        <f t="shared" si="6"/>
        <v>450</v>
      </c>
      <c r="C63" s="142">
        <f>Imin+(Imax-Imin)*0.55</f>
        <v>1.6504500000000002</v>
      </c>
      <c r="D63" s="144">
        <f t="shared" si="11"/>
        <v>0.2159134295528857</v>
      </c>
      <c r="E63" s="144">
        <f t="shared" si="12"/>
        <v>1.939647830498737</v>
      </c>
      <c r="F63" s="144">
        <f t="shared" si="9"/>
        <v>0.80983828775649003</v>
      </c>
      <c r="G63" s="144">
        <f t="shared" si="10"/>
        <v>1.5432649240209888</v>
      </c>
      <c r="H63" s="144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39" customFormat="1" ht="12.95" customHeight="1">
      <c r="A64" s="144">
        <f>IF(OR('Power Loss'!$B$17="AP63206",'Power Loss'!$B$17="AP63356"), 0, IF(A33&gt;$E$9, 0, 2/((Vin-Vout)*Vout/(2*Vin*Lout*0.000001*($E$9-A33)))))</f>
        <v>0</v>
      </c>
      <c r="B64" s="140">
        <f t="shared" si="6"/>
        <v>450</v>
      </c>
      <c r="C64" s="142">
        <f>Imin+(Imax-Imin)*0.6</f>
        <v>1.8003999999999998</v>
      </c>
      <c r="D64" s="144">
        <f t="shared" si="11"/>
        <v>0.21654695313948286</v>
      </c>
      <c r="E64" s="144">
        <f t="shared" si="12"/>
        <v>1.9453390589362527</v>
      </c>
      <c r="F64" s="144">
        <f t="shared" si="9"/>
        <v>0.87761875073770879</v>
      </c>
      <c r="G64" s="144">
        <f t="shared" si="10"/>
        <v>1.6693074890121848</v>
      </c>
      <c r="H64" s="144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30" s="39" customFormat="1" ht="12.95" customHeight="1">
      <c r="A65" s="144">
        <f>IF(OR('Power Loss'!$B$17="AP63206",'Power Loss'!$B$17="AP63356"), 0, IF(A34&gt;$E$9, 0, 2/((Vin-Vout)*Vout/(2*Vin*Lout*0.000001*($E$9-A34)))))</f>
        <v>0</v>
      </c>
      <c r="B65" s="140">
        <f t="shared" si="6"/>
        <v>450</v>
      </c>
      <c r="C65" s="142">
        <f>Imin+(Imax-Imin)*0.65</f>
        <v>1.95035</v>
      </c>
      <c r="D65" s="144">
        <f t="shared" si="11"/>
        <v>0.21718081624579641</v>
      </c>
      <c r="E65" s="144">
        <f t="shared" si="12"/>
        <v>1.9510333374326867</v>
      </c>
      <c r="F65" s="144">
        <f t="shared" si="9"/>
        <v>0.94605425822908318</v>
      </c>
      <c r="G65" s="144">
        <f t="shared" si="10"/>
        <v>1.7961228762627655</v>
      </c>
      <c r="H65" s="14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30" s="39" customFormat="1" ht="12.95" customHeight="1">
      <c r="A66" s="144">
        <f>IF(OR('Power Loss'!$B$17="AP63206",'Power Loss'!$B$17="AP63356"), 0, IF(A35&gt;$E$9, 0, 2/((Vin-Vout)*Vout/(2*Vin*Lout*0.000001*($E$9-A35)))))</f>
        <v>0</v>
      </c>
      <c r="B66" s="140">
        <f t="shared" si="6"/>
        <v>450</v>
      </c>
      <c r="C66" s="142">
        <f>Imin+(Imax-Imin)*0.7</f>
        <v>2.1002999999999998</v>
      </c>
      <c r="D66" s="144">
        <f t="shared" si="11"/>
        <v>0.21781501914483412</v>
      </c>
      <c r="E66" s="144">
        <f t="shared" si="12"/>
        <v>1.9567306684405905</v>
      </c>
      <c r="F66" s="144">
        <f t="shared" si="9"/>
        <v>1.0150547377621113</v>
      </c>
      <c r="G66" s="144">
        <f t="shared" si="10"/>
        <v>1.9235358618305043</v>
      </c>
      <c r="H66" s="144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0"/>
      <c r="Y66" s="40"/>
      <c r="Z66" s="40"/>
      <c r="AA66" s="40"/>
      <c r="AB66" s="40"/>
      <c r="AC66" s="40"/>
      <c r="AD66" s="40"/>
    </row>
    <row r="67" spans="1:30" s="39" customFormat="1" ht="12.95" customHeight="1">
      <c r="A67" s="144">
        <f>IF(OR('Power Loss'!$B$17="AP63206",'Power Loss'!$B$17="AP63356"), 0, IF(A36&gt;$E$9, 0, 2/((Vin-Vout)*Vout/(2*Vin*Lout*0.000001*($E$9-A36)))))</f>
        <v>0</v>
      </c>
      <c r="B67" s="140">
        <f t="shared" si="6"/>
        <v>450</v>
      </c>
      <c r="C67" s="142">
        <f>Imin+(Imax-Imin)*0.75</f>
        <v>2.2502499999999999</v>
      </c>
      <c r="D67" s="144">
        <f t="shared" si="11"/>
        <v>0.21844956210989647</v>
      </c>
      <c r="E67" s="144">
        <f t="shared" si="12"/>
        <v>1.9624310544151458</v>
      </c>
      <c r="F67" s="144">
        <f t="shared" si="9"/>
        <v>1.0845520974890108</v>
      </c>
      <c r="G67" s="144">
        <f t="shared" si="10"/>
        <v>2.0514140929149165</v>
      </c>
      <c r="H67" s="144"/>
      <c r="I67" s="31" t="s">
        <v>130</v>
      </c>
      <c r="J67" s="31" t="s">
        <v>132</v>
      </c>
      <c r="K67" s="31" t="s">
        <v>134</v>
      </c>
      <c r="L67" s="31" t="s">
        <v>136</v>
      </c>
      <c r="M67" s="31" t="s">
        <v>138</v>
      </c>
      <c r="N67" s="31" t="s">
        <v>140</v>
      </c>
      <c r="O67" s="31" t="s">
        <v>142</v>
      </c>
      <c r="P67" s="31" t="s">
        <v>144</v>
      </c>
      <c r="Q67" s="31" t="s">
        <v>41</v>
      </c>
      <c r="R67" s="31"/>
      <c r="S67" s="31"/>
      <c r="T67" s="31"/>
      <c r="U67" s="31"/>
      <c r="V67" s="31"/>
      <c r="W67" s="31"/>
      <c r="X67" s="40"/>
      <c r="Y67" s="40"/>
      <c r="Z67" s="40"/>
      <c r="AA67" s="40"/>
      <c r="AB67" s="40"/>
      <c r="AC67" s="40"/>
      <c r="AD67" s="40"/>
    </row>
    <row r="68" spans="1:30" s="39" customFormat="1" ht="12.95" customHeight="1">
      <c r="A68" s="144">
        <f>IF(OR('Power Loss'!$B$17="AP63206",'Power Loss'!$B$17="AP63356"), 0, IF(A37&gt;$E$9, 0, 2/((Vin-Vout)*Vout/(2*Vin*Lout*0.000001*($E$9-A37)))))</f>
        <v>0</v>
      </c>
      <c r="B68" s="140">
        <f t="shared" si="6"/>
        <v>450</v>
      </c>
      <c r="C68" s="142">
        <f>Imin+(Imax-Imin)*0.8</f>
        <v>2.4002000000000003</v>
      </c>
      <c r="D68" s="144">
        <f t="shared" si="11"/>
        <v>0.21908444541457697</v>
      </c>
      <c r="E68" s="144">
        <f t="shared" si="12"/>
        <v>1.9681344978141668</v>
      </c>
      <c r="F68" s="144">
        <f t="shared" si="9"/>
        <v>1.1544939773112588</v>
      </c>
      <c r="G68" s="144">
        <f t="shared" si="10"/>
        <v>2.1796558932874133</v>
      </c>
      <c r="H68" s="144"/>
      <c r="I68" s="31">
        <f>2*Ron_u*0.001*'Efficiency Summary'!B68*'Efficiency Summary'!$B$44*Vout/(3*Vin)</f>
        <v>1027.7423415307871</v>
      </c>
      <c r="J68" s="102">
        <f>+B68*(Vout*(Vin-Vout)/('Efficiency Summary'!$B$44*Lout*0.000001))*'Power Loss'!$B$53*0.000000001</f>
        <v>0.72714117446808535</v>
      </c>
      <c r="K68" s="31">
        <f>+'Power Loss'!$B$50*0.000000001*Vin^2*2*'Efficiency Summary'!B68*Vout*(Vin-Vout)/(Lout*0.000001*'Power Loss'!$B$79*'Efficiency Summary'!$B$44^2)</f>
        <v>2.5470471754487804E-2</v>
      </c>
      <c r="L68" s="31">
        <f>2*Ron_l*0.001*'Efficiency Summary'!$B$46*'Efficiency Summary'!$B$44*(Vin-Vout)/(3*Vin)</f>
        <v>798.03180576108218</v>
      </c>
      <c r="M68" s="31">
        <f>+'Power Loss'!$B$67*0.000000001*Vin^2*2*'Efficiency Summary'!B68*Vout*(Vin-Vout)/(Lout*0.000001*'Power Loss'!$B$79*'Efficiency Summary'!$B$44^2)</f>
        <v>4.175745094496694E-2</v>
      </c>
      <c r="N68" s="31">
        <f>+$K$44*$K$45*0.000000001*2*B68*Vout*(Vin-Vout)/('Efficiency Summary'!$B$44^2*Lout*0.000001*Vin)</f>
        <v>1.681998018025831E-4</v>
      </c>
      <c r="O68" s="31">
        <f t="shared" ref="O68" si="13">+ESR*0.001*B68*$B$44/(6*ncap)</f>
        <v>28.145051126950232</v>
      </c>
      <c r="P68" s="31">
        <f t="shared" ref="P68" si="14">+$K$46*0.000001*(1+20*B68)*Vin</f>
        <v>17.28192</v>
      </c>
      <c r="Q68" s="102">
        <f>+B68*Vout*100/(Vout*'Efficiency Summary'!B68+SUM('Efficiency Summary'!G68:P68))</f>
        <v>54.556361696519318</v>
      </c>
      <c r="R68" s="31"/>
      <c r="S68" s="31"/>
      <c r="T68" s="31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30" s="39" customFormat="1" ht="12.95" customHeight="1">
      <c r="A69" s="144">
        <f>IF(OR('Power Loss'!$B$17="AP63206",'Power Loss'!$B$17="AP63356"), 0, IF(A38&gt;$E$9, 0, 2/((Vin-Vout)*Vout/(2*Vin*Lout*0.000001*($E$9-A38)))))</f>
        <v>0</v>
      </c>
      <c r="B69" s="140">
        <f t="shared" si="6"/>
        <v>450</v>
      </c>
      <c r="C69" s="142">
        <f>Imin+(Imax-Imin)*0.85</f>
        <v>2.5501499999999999</v>
      </c>
      <c r="D69" s="144">
        <f t="shared" si="11"/>
        <v>0.21971966933276291</v>
      </c>
      <c r="E69" s="144">
        <f t="shared" si="12"/>
        <v>1.9738410010981067</v>
      </c>
      <c r="F69" s="144">
        <f t="shared" si="9"/>
        <v>1.2248394904224844</v>
      </c>
      <c r="G69" s="144">
        <f t="shared" si="10"/>
        <v>2.3081819548444589</v>
      </c>
      <c r="H69" s="144"/>
      <c r="I69" s="31">
        <f>2*Ron_u*0.001*'Efficiency Summary'!B69*'Efficiency Summary'!$B$44*Vout/(3*Vin)</f>
        <v>1027.7423415307871</v>
      </c>
      <c r="J69" s="102">
        <f>+B69*(Vout*(Vin-Vout)/('Efficiency Summary'!$B$44*Lout*0.000001))*'Power Loss'!$B$53*0.000000001</f>
        <v>0.72714117446808535</v>
      </c>
      <c r="K69" s="31">
        <f>+'Power Loss'!$B$50*0.000000001*Vin^2*2*'Efficiency Summary'!B69*Vout*(Vin-Vout)/(Lout*0.000001*'Power Loss'!$B$79*'Efficiency Summary'!$B$44^2)</f>
        <v>2.5470471754487804E-2</v>
      </c>
      <c r="L69" s="31">
        <f>2*Ron_l*0.001*'Efficiency Summary'!$B$46*'Efficiency Summary'!$B$44*(Vin-Vout)/(3*Vin)</f>
        <v>798.03180576108218</v>
      </c>
      <c r="M69" s="31">
        <f>+'Power Loss'!$B$67*0.000000001*Vin^2*2*'Efficiency Summary'!B69*Vout*(Vin-Vout)/(Lout*0.000001*'Power Loss'!$B$79*'Efficiency Summary'!$B$44^2)</f>
        <v>4.175745094496694E-2</v>
      </c>
      <c r="N69" s="31">
        <f>+$K$44*$K$45*0.000000001*2*B69*Vout*(Vin-Vout)/('Efficiency Summary'!$B$44^2*Lout*0.000001*Vin)</f>
        <v>1.681998018025831E-4</v>
      </c>
      <c r="O69" s="31">
        <f t="shared" ref="O69:O72" si="15">+ESR*0.001*B69*$B$44/(6*ncap)</f>
        <v>28.145051126950232</v>
      </c>
      <c r="P69" s="31">
        <f t="shared" ref="P69:P72" si="16">+$K$46*0.000001*(1+20*B69)*Vin</f>
        <v>17.28192</v>
      </c>
      <c r="Q69" s="102">
        <f>+B69*Vout*100/(Vout*'Efficiency Summary'!B69+SUM('Efficiency Summary'!G69:P69))</f>
        <v>54.554661551579052</v>
      </c>
      <c r="R69" s="31"/>
      <c r="S69" s="31"/>
      <c r="T69" s="31"/>
      <c r="U69" s="31"/>
      <c r="V69" s="31"/>
      <c r="W69" s="31"/>
      <c r="X69" s="40"/>
      <c r="Y69" s="40"/>
      <c r="Z69" s="40"/>
      <c r="AA69" s="40"/>
      <c r="AB69" s="40"/>
      <c r="AC69" s="40"/>
      <c r="AD69" s="40"/>
    </row>
    <row r="70" spans="1:30" s="39" customFormat="1" ht="12.95" customHeight="1">
      <c r="A70" s="144">
        <f>IF(OR('Power Loss'!$B$17="AP63206",'Power Loss'!$B$17="AP63356"), 0, IF(A39&gt;$E$9, 0, 2/((Vin-Vout)*Vout/(2*Vin*Lout*0.000001*($E$9-A39)))))</f>
        <v>0</v>
      </c>
      <c r="B70" s="140">
        <f t="shared" si="6"/>
        <v>450</v>
      </c>
      <c r="C70" s="142">
        <f>Imin+(Imax-Imin)*0.9</f>
        <v>2.7000999999999999</v>
      </c>
      <c r="D70" s="144">
        <f t="shared" si="11"/>
        <v>0.22035523413863536</v>
      </c>
      <c r="E70" s="144">
        <f t="shared" si="12"/>
        <v>1.9795505667300579</v>
      </c>
      <c r="F70" s="144">
        <f t="shared" si="9"/>
        <v>1.295556262020926</v>
      </c>
      <c r="G70" s="144">
        <f t="shared" si="10"/>
        <v>2.4369295611059023</v>
      </c>
      <c r="H70" s="144"/>
      <c r="I70" s="31">
        <f>2*Ron_u*0.001*'Efficiency Summary'!B70*'Efficiency Summary'!$B$44*Vout/(3*Vin)</f>
        <v>1027.7423415307871</v>
      </c>
      <c r="J70" s="102">
        <f>+B70*(Vout*(Vin-Vout)/('Efficiency Summary'!$B$44*Lout*0.000001))*'Power Loss'!$B$53*0.000000001</f>
        <v>0.72714117446808535</v>
      </c>
      <c r="K70" s="31">
        <f>+'Power Loss'!$B$50*0.000000001*Vin^2*2*'Efficiency Summary'!B70*Vout*(Vin-Vout)/(Lout*0.000001*'Power Loss'!$B$79*'Efficiency Summary'!$B$44^2)</f>
        <v>2.5470471754487804E-2</v>
      </c>
      <c r="L70" s="31">
        <f>2*Ron_l*0.001*'Efficiency Summary'!$B$46*'Efficiency Summary'!$B$44*(Vin-Vout)/(3*Vin)</f>
        <v>798.03180576108218</v>
      </c>
      <c r="M70" s="31">
        <f>+'Power Loss'!$B$67*0.000000001*Vin^2*2*'Efficiency Summary'!B70*Vout*(Vin-Vout)/(Lout*0.000001*'Power Loss'!$B$79*'Efficiency Summary'!$B$44^2)</f>
        <v>4.175745094496694E-2</v>
      </c>
      <c r="N70" s="31">
        <f>+$K$44*$K$45*0.000000001*2*B70*Vout*(Vin-Vout)/('Efficiency Summary'!$B$44^2*Lout*0.000001*Vin)</f>
        <v>1.681998018025831E-4</v>
      </c>
      <c r="O70" s="31">
        <f t="shared" si="15"/>
        <v>28.145051126950232</v>
      </c>
      <c r="P70" s="31">
        <f t="shared" si="16"/>
        <v>17.28192</v>
      </c>
      <c r="Q70" s="102">
        <f>+B70*Vout*100/(Vout*'Efficiency Summary'!B70+SUM('Efficiency Summary'!G70:P70))</f>
        <v>54.552958582276013</v>
      </c>
      <c r="R70" s="31"/>
      <c r="S70" s="31"/>
      <c r="T70" s="31"/>
      <c r="U70" s="31"/>
      <c r="V70" s="31"/>
      <c r="W70" s="31"/>
      <c r="X70" s="40"/>
      <c r="Y70" s="40"/>
      <c r="Z70" s="40"/>
      <c r="AA70" s="40"/>
      <c r="AB70" s="40"/>
      <c r="AC70" s="40"/>
      <c r="AD70" s="40"/>
    </row>
    <row r="71" spans="1:30" s="39" customFormat="1" ht="12.95" customHeight="1">
      <c r="A71" s="144">
        <f>IF(OR('Power Loss'!$B$17="AP63206",'Power Loss'!$B$17="AP63356"), 0, IF(A40&gt;$E$9, 0, 2/((Vin-Vout)*Vout/(2*Vin*Lout*0.000001*($E$9-A40)))))</f>
        <v>0</v>
      </c>
      <c r="B71" s="140">
        <f t="shared" si="6"/>
        <v>450</v>
      </c>
      <c r="C71" s="142">
        <f>Imin+(Imax-Imin)*0.95</f>
        <v>2.85005</v>
      </c>
      <c r="D71" s="144">
        <f t="shared" si="11"/>
        <v>0.22099114010666993</v>
      </c>
      <c r="E71" s="144">
        <f t="shared" si="12"/>
        <v>1.9852631971757584</v>
      </c>
      <c r="F71" s="144">
        <f t="shared" si="9"/>
        <v>1.3666183314087716</v>
      </c>
      <c r="G71" s="144">
        <f t="shared" si="10"/>
        <v>2.5658484955785186</v>
      </c>
      <c r="H71" s="144"/>
      <c r="I71" s="31">
        <f>2*Ron_u*0.001*'Efficiency Summary'!B71*'Efficiency Summary'!$B$44*Vout/(3*Vin)</f>
        <v>1027.7423415307871</v>
      </c>
      <c r="J71" s="102">
        <f>+B71*(Vout*(Vin-Vout)/('Efficiency Summary'!$B$44*Lout*0.000001))*'Power Loss'!$B$53*0.000000001</f>
        <v>0.72714117446808535</v>
      </c>
      <c r="K71" s="31">
        <f>+'Power Loss'!$B$50*0.000000001*Vin^2*2*'Efficiency Summary'!B71*Vout*(Vin-Vout)/(Lout*0.000001*'Power Loss'!$B$79*'Efficiency Summary'!$B$44^2)</f>
        <v>2.5470471754487804E-2</v>
      </c>
      <c r="L71" s="31">
        <f>2*Ron_l*0.001*'Efficiency Summary'!$B$46*'Efficiency Summary'!$B$44*(Vin-Vout)/(3*Vin)</f>
        <v>798.03180576108218</v>
      </c>
      <c r="M71" s="31">
        <f>+'Power Loss'!$B$67*0.000000001*Vin^2*2*'Efficiency Summary'!B71*Vout*(Vin-Vout)/(Lout*0.000001*'Power Loss'!$B$79*'Efficiency Summary'!$B$44^2)</f>
        <v>4.175745094496694E-2</v>
      </c>
      <c r="N71" s="31">
        <f>+$K$44*$K$45*0.000000001*2*B71*Vout*(Vin-Vout)/('Efficiency Summary'!$B$44^2*Lout*0.000001*Vin)</f>
        <v>1.681998018025831E-4</v>
      </c>
      <c r="O71" s="31">
        <f t="shared" si="15"/>
        <v>28.145051126950232</v>
      </c>
      <c r="P71" s="31">
        <f t="shared" si="16"/>
        <v>17.28192</v>
      </c>
      <c r="Q71" s="102">
        <f>+B71*Vout*100/(Vout*'Efficiency Summary'!B71+SUM('Efficiency Summary'!G71:P71))</f>
        <v>54.551253453310046</v>
      </c>
      <c r="R71" s="31"/>
      <c r="S71" s="31"/>
      <c r="T71" s="31"/>
      <c r="U71" s="31"/>
      <c r="V71" s="31"/>
      <c r="W71" s="31"/>
      <c r="X71" s="40"/>
      <c r="Y71" s="40"/>
      <c r="Z71" s="40"/>
      <c r="AA71" s="40"/>
      <c r="AB71" s="40"/>
      <c r="AC71" s="40"/>
      <c r="AD71" s="40"/>
    </row>
    <row r="72" spans="1:30" s="39" customFormat="1" ht="12.95" customHeight="1">
      <c r="A72" s="144">
        <f>IF(OR('Power Loss'!$B$17="AP63206",'Power Loss'!$B$17="AP63356"), 0, IF(A41&gt;$E$9, 0, 2/((Vin-Vout)*Vout/(2*Vin*Lout*0.000001*($E$9-A41)))))</f>
        <v>0</v>
      </c>
      <c r="B72" s="140">
        <f t="shared" si="6"/>
        <v>450</v>
      </c>
      <c r="C72" s="142">
        <f>Imin+(Imax-Imin)*1</f>
        <v>3</v>
      </c>
      <c r="D72" s="144">
        <f t="shared" si="11"/>
        <v>0.20833333333333334</v>
      </c>
      <c r="E72" s="144">
        <f>(Vin-Vout)/Lout/10^(-6)*D72/Fs/10^3</f>
        <v>1.8715524034672975</v>
      </c>
      <c r="F72" s="144">
        <f t="shared" si="9"/>
        <v>1.3913342192670837</v>
      </c>
      <c r="G72" s="144">
        <f t="shared" si="10"/>
        <v>2.7122097000183212</v>
      </c>
      <c r="H72" s="144"/>
      <c r="I72" s="31">
        <f>2*Ron_u*0.001*'Efficiency Summary'!B72*'Efficiency Summary'!$B$44*Vout/(3*Vin)</f>
        <v>1027.7423415307871</v>
      </c>
      <c r="J72" s="102">
        <f>+B72*(Vout*(Vin-Vout)/('Efficiency Summary'!$B$44*Lout*0.000001))*'Power Loss'!$B$53*0.000000001</f>
        <v>0.72714117446808535</v>
      </c>
      <c r="K72" s="31">
        <f>+'Power Loss'!$B$50*0.000000001*Vin^2*2*'Efficiency Summary'!B72*Vout*(Vin-Vout)/(Lout*0.000001*'Power Loss'!$B$79*'Efficiency Summary'!$B$44^2)</f>
        <v>2.5470471754487804E-2</v>
      </c>
      <c r="L72" s="31">
        <f>2*Ron_l*0.001*'Efficiency Summary'!$B$46*'Efficiency Summary'!$B$44*(Vin-Vout)/(3*Vin)</f>
        <v>798.03180576108218</v>
      </c>
      <c r="M72" s="31">
        <f>+'Power Loss'!$B$67*0.000000001*Vin^2*2*'Efficiency Summary'!B72*Vout*(Vin-Vout)/(Lout*0.000001*'Power Loss'!$B$79*'Efficiency Summary'!$B$44^2)</f>
        <v>4.175745094496694E-2</v>
      </c>
      <c r="N72" s="31">
        <f>+$K$44*$K$45*0.000000001*2*B72*Vout*(Vin-Vout)/('Efficiency Summary'!$B$44^2*Lout*0.000001*Vin)</f>
        <v>1.681998018025831E-4</v>
      </c>
      <c r="O72" s="31">
        <f t="shared" si="15"/>
        <v>28.145051126950232</v>
      </c>
      <c r="P72" s="31">
        <f t="shared" si="16"/>
        <v>17.28192</v>
      </c>
      <c r="Q72" s="102">
        <f>+B72*Vout*100/(Vout*'Efficiency Summary'!B72+SUM('Efficiency Summary'!G72:P72))</f>
        <v>54.549317755699533</v>
      </c>
      <c r="R72" s="31"/>
      <c r="S72" s="31"/>
      <c r="T72" s="31"/>
      <c r="U72" s="31"/>
      <c r="V72" s="31"/>
      <c r="W72" s="31"/>
      <c r="X72" s="40"/>
      <c r="Y72" s="40"/>
      <c r="Z72" s="40"/>
      <c r="AA72" s="40"/>
      <c r="AB72" s="40"/>
      <c r="AC72" s="40"/>
      <c r="AD72" s="40"/>
    </row>
    <row r="73" spans="1:30" s="39" customFormat="1" ht="12.95" customHeight="1">
      <c r="A73" s="31"/>
      <c r="B73" s="31"/>
      <c r="C73" s="102"/>
      <c r="D73" s="102"/>
      <c r="E73" s="102"/>
      <c r="F73" s="102"/>
      <c r="G73" s="102"/>
      <c r="H73" s="102"/>
      <c r="I73" s="31"/>
      <c r="J73" s="102"/>
      <c r="K73" s="31"/>
      <c r="L73" s="31"/>
      <c r="M73" s="31"/>
      <c r="N73" s="31"/>
      <c r="O73" s="31"/>
      <c r="P73" s="31"/>
      <c r="Q73" s="102"/>
      <c r="R73" s="31"/>
      <c r="S73" s="31"/>
      <c r="T73" s="31"/>
      <c r="U73" s="31"/>
      <c r="V73" s="31"/>
      <c r="W73" s="31"/>
      <c r="X73" s="40"/>
      <c r="Y73" s="40"/>
      <c r="Z73" s="40"/>
      <c r="AA73" s="40"/>
      <c r="AB73" s="40"/>
      <c r="AC73" s="40"/>
      <c r="AD73" s="40"/>
    </row>
    <row r="74" spans="1:30" s="39" customFormat="1" ht="12.95" customHeight="1">
      <c r="A74" s="31"/>
      <c r="B74" s="31"/>
      <c r="C74" s="102"/>
      <c r="D74" s="102"/>
      <c r="E74" s="102"/>
      <c r="F74" s="102"/>
      <c r="G74" s="102"/>
      <c r="H74" s="102"/>
      <c r="I74" s="31"/>
      <c r="J74" s="102"/>
      <c r="K74" s="31"/>
      <c r="L74" s="31"/>
      <c r="M74" s="31"/>
      <c r="N74" s="31"/>
      <c r="O74" s="31"/>
      <c r="P74" s="31"/>
      <c r="Q74" s="102"/>
      <c r="R74" s="31"/>
      <c r="S74" s="31"/>
      <c r="T74" s="31"/>
      <c r="U74" s="31"/>
      <c r="V74" s="31"/>
      <c r="W74" s="31"/>
      <c r="X74" s="40"/>
      <c r="Y74" s="40"/>
      <c r="Z74" s="40"/>
      <c r="AA74" s="40"/>
      <c r="AB74" s="40"/>
      <c r="AC74" s="40"/>
      <c r="AD74" s="40"/>
    </row>
    <row r="75" spans="1:30" s="39" customFormat="1" ht="12.95" customHeight="1">
      <c r="A75" s="31"/>
      <c r="B75" s="31"/>
      <c r="C75" s="102"/>
      <c r="D75" s="102"/>
      <c r="E75" s="102"/>
      <c r="F75" s="102"/>
      <c r="G75" s="102"/>
      <c r="H75" s="102"/>
      <c r="I75" s="31"/>
      <c r="J75" s="102"/>
      <c r="K75" s="31"/>
      <c r="L75" s="31"/>
      <c r="M75" s="31"/>
      <c r="N75" s="31"/>
      <c r="O75" s="31"/>
      <c r="P75" s="31"/>
      <c r="Q75" s="102"/>
      <c r="R75" s="31"/>
      <c r="S75" s="31"/>
      <c r="T75" s="31"/>
      <c r="U75" s="31"/>
      <c r="V75" s="31"/>
      <c r="W75" s="31"/>
      <c r="X75" s="40"/>
      <c r="Y75" s="40"/>
      <c r="Z75" s="40"/>
      <c r="AA75" s="40"/>
      <c r="AB75" s="40"/>
      <c r="AC75" s="40"/>
      <c r="AD75" s="40"/>
    </row>
    <row r="76" spans="1:30" s="39" customFormat="1" ht="12.95" customHeight="1">
      <c r="A76" s="31"/>
      <c r="B76" s="31"/>
      <c r="C76" s="102"/>
      <c r="D76" s="102"/>
      <c r="E76" s="102"/>
      <c r="F76" s="102"/>
      <c r="G76" s="102"/>
      <c r="H76" s="102"/>
      <c r="I76" s="31"/>
      <c r="J76" s="102"/>
      <c r="K76" s="31"/>
      <c r="L76" s="31"/>
      <c r="M76" s="31"/>
      <c r="N76" s="31"/>
      <c r="O76" s="31"/>
      <c r="P76" s="31"/>
      <c r="Q76" s="102"/>
      <c r="R76" s="31"/>
      <c r="S76" s="31"/>
      <c r="T76" s="31"/>
      <c r="U76" s="31"/>
      <c r="V76" s="31"/>
      <c r="W76" s="31"/>
      <c r="X76" s="40"/>
      <c r="Y76" s="40"/>
      <c r="Z76" s="40"/>
      <c r="AA76" s="40"/>
      <c r="AB76" s="40"/>
      <c r="AC76" s="40"/>
      <c r="AD76" s="40"/>
    </row>
    <row r="77" spans="1:30" s="39" customFormat="1" ht="12.95" customHeight="1">
      <c r="A77" s="31"/>
      <c r="B77" s="31"/>
      <c r="C77" s="102"/>
      <c r="D77" s="102"/>
      <c r="E77" s="102"/>
      <c r="F77" s="102"/>
      <c r="G77" s="102"/>
      <c r="H77" s="102"/>
      <c r="I77" s="31"/>
      <c r="J77" s="102"/>
      <c r="K77" s="31"/>
      <c r="L77" s="31"/>
      <c r="M77" s="31"/>
      <c r="N77" s="31"/>
      <c r="O77" s="31"/>
      <c r="P77" s="31"/>
      <c r="Q77" s="102"/>
      <c r="R77" s="31"/>
      <c r="S77" s="31"/>
      <c r="T77" s="31"/>
      <c r="U77" s="31"/>
      <c r="V77" s="31"/>
      <c r="W77" s="31"/>
      <c r="X77" s="40"/>
      <c r="Y77" s="40"/>
      <c r="Z77" s="40"/>
      <c r="AA77" s="40"/>
      <c r="AB77" s="40"/>
      <c r="AC77" s="40"/>
      <c r="AD77" s="40"/>
    </row>
    <row r="78" spans="1:30" s="39" customFormat="1" ht="12.95" customHeight="1">
      <c r="A78" s="31"/>
      <c r="B78" s="31"/>
      <c r="C78" s="102"/>
      <c r="D78" s="102"/>
      <c r="E78" s="102"/>
      <c r="F78" s="102"/>
      <c r="G78" s="102"/>
      <c r="H78" s="102"/>
      <c r="I78" s="31"/>
      <c r="J78" s="102"/>
      <c r="K78" s="31"/>
      <c r="L78" s="31"/>
      <c r="M78" s="31"/>
      <c r="N78" s="31"/>
      <c r="O78" s="31"/>
      <c r="P78" s="31"/>
      <c r="Q78" s="102"/>
      <c r="R78" s="31"/>
      <c r="S78" s="31"/>
      <c r="T78" s="31"/>
      <c r="U78" s="31"/>
      <c r="V78" s="31"/>
      <c r="W78" s="31"/>
      <c r="X78" s="40"/>
      <c r="Y78" s="40"/>
      <c r="Z78" s="40"/>
      <c r="AA78" s="40"/>
      <c r="AB78" s="40"/>
      <c r="AC78" s="40"/>
      <c r="AD78" s="40"/>
    </row>
    <row r="79" spans="1:30" s="39" customFormat="1" ht="12.95" customHeight="1">
      <c r="A79" s="31"/>
      <c r="B79" s="31"/>
      <c r="C79" s="102"/>
      <c r="D79" s="102"/>
      <c r="E79" s="102"/>
      <c r="F79" s="102"/>
      <c r="G79" s="102"/>
      <c r="H79" s="102"/>
      <c r="I79" s="31"/>
      <c r="J79" s="102"/>
      <c r="K79" s="31"/>
      <c r="L79" s="31"/>
      <c r="M79" s="31"/>
      <c r="N79" s="31"/>
      <c r="O79" s="31"/>
      <c r="P79" s="31"/>
      <c r="Q79" s="102"/>
      <c r="R79" s="31"/>
      <c r="S79" s="31"/>
      <c r="T79" s="31"/>
      <c r="U79" s="31"/>
      <c r="V79" s="31"/>
      <c r="W79" s="31"/>
      <c r="X79" s="40"/>
      <c r="Y79" s="40"/>
      <c r="Z79" s="40"/>
      <c r="AA79" s="40"/>
      <c r="AB79" s="40"/>
      <c r="AC79" s="40"/>
      <c r="AD79" s="40"/>
    </row>
    <row r="80" spans="1:30" s="39" customFormat="1" ht="12.95" customHeight="1">
      <c r="A80" s="31"/>
      <c r="B80" s="31"/>
      <c r="C80" s="102"/>
      <c r="D80" s="102"/>
      <c r="E80" s="102"/>
      <c r="F80" s="102"/>
      <c r="G80" s="102"/>
      <c r="H80" s="102"/>
      <c r="I80" s="31"/>
      <c r="J80" s="102"/>
      <c r="K80" s="31"/>
      <c r="L80" s="31"/>
      <c r="M80" s="31"/>
      <c r="N80" s="31"/>
      <c r="O80" s="31"/>
      <c r="P80" s="31"/>
      <c r="Q80" s="102"/>
      <c r="R80" s="31"/>
      <c r="S80" s="31"/>
      <c r="T80" s="31"/>
      <c r="U80" s="31"/>
      <c r="V80" s="31"/>
      <c r="W80" s="31"/>
      <c r="X80" s="40"/>
      <c r="Y80" s="40"/>
      <c r="Z80" s="40"/>
      <c r="AA80" s="40"/>
      <c r="AB80" s="40"/>
      <c r="AC80" s="40"/>
      <c r="AD80" s="40"/>
    </row>
    <row r="81" spans="1:30" s="39" customFormat="1" ht="12.95" customHeight="1">
      <c r="A81" s="31"/>
      <c r="B81" s="31"/>
      <c r="C81" s="102"/>
      <c r="D81" s="102"/>
      <c r="E81" s="102"/>
      <c r="F81" s="102"/>
      <c r="G81" s="102"/>
      <c r="H81" s="102"/>
      <c r="I81" s="31"/>
      <c r="J81" s="102"/>
      <c r="K81" s="31"/>
      <c r="L81" s="31"/>
      <c r="M81" s="31"/>
      <c r="N81" s="31"/>
      <c r="O81" s="31"/>
      <c r="P81" s="31"/>
      <c r="Q81" s="102"/>
      <c r="R81" s="31"/>
      <c r="S81" s="31"/>
      <c r="T81" s="31"/>
      <c r="U81" s="31"/>
      <c r="V81" s="31"/>
      <c r="W81" s="31"/>
      <c r="X81" s="40"/>
      <c r="Y81" s="40"/>
      <c r="Z81" s="40"/>
      <c r="AA81" s="40"/>
      <c r="AB81" s="40"/>
      <c r="AC81" s="40"/>
      <c r="AD81" s="40"/>
    </row>
    <row r="82" spans="1:30" s="39" customFormat="1" ht="12.95" customHeight="1">
      <c r="A82" s="31"/>
      <c r="B82" s="31"/>
      <c r="C82" s="102"/>
      <c r="D82" s="102"/>
      <c r="E82" s="102"/>
      <c r="F82" s="102"/>
      <c r="G82" s="102"/>
      <c r="H82" s="102"/>
      <c r="I82" s="31"/>
      <c r="J82" s="102"/>
      <c r="K82" s="31"/>
      <c r="L82" s="31"/>
      <c r="M82" s="31"/>
      <c r="N82" s="31"/>
      <c r="O82" s="31"/>
      <c r="P82" s="31"/>
      <c r="Q82" s="102"/>
      <c r="R82" s="31"/>
      <c r="S82" s="31"/>
      <c r="T82" s="31"/>
      <c r="U82" s="31"/>
      <c r="V82" s="31"/>
      <c r="W82" s="31"/>
      <c r="X82" s="40"/>
      <c r="Y82" s="40"/>
      <c r="Z82" s="40"/>
      <c r="AA82" s="40"/>
      <c r="AB82" s="40"/>
      <c r="AC82" s="40"/>
      <c r="AD82" s="40"/>
    </row>
    <row r="83" spans="1:30" s="39" customFormat="1" ht="12.95" customHeight="1">
      <c r="A83" s="31"/>
      <c r="B83" s="31"/>
      <c r="C83" s="102"/>
      <c r="D83" s="102"/>
      <c r="E83" s="102"/>
      <c r="F83" s="102"/>
      <c r="G83" s="102"/>
      <c r="H83" s="102"/>
      <c r="I83" s="31"/>
      <c r="J83" s="102"/>
      <c r="K83" s="31"/>
      <c r="L83" s="31"/>
      <c r="M83" s="31"/>
      <c r="N83" s="31"/>
      <c r="O83" s="31"/>
      <c r="P83" s="31"/>
      <c r="Q83" s="102"/>
      <c r="R83" s="31"/>
      <c r="S83" s="31"/>
      <c r="T83" s="31"/>
      <c r="U83" s="31"/>
      <c r="V83" s="31"/>
      <c r="W83" s="31"/>
      <c r="X83" s="40"/>
      <c r="Y83" s="40"/>
      <c r="Z83" s="40"/>
      <c r="AA83" s="40"/>
      <c r="AB83" s="40"/>
      <c r="AC83" s="40"/>
      <c r="AD83" s="40"/>
    </row>
    <row r="84" spans="1:30" s="39" customFormat="1" ht="12.95" customHeight="1">
      <c r="A84" s="31"/>
      <c r="B84" s="31"/>
      <c r="C84" s="102"/>
      <c r="D84" s="102"/>
      <c r="E84" s="102"/>
      <c r="F84" s="102"/>
      <c r="G84" s="102"/>
      <c r="H84" s="102"/>
      <c r="I84" s="31"/>
      <c r="J84" s="102"/>
      <c r="K84" s="31"/>
      <c r="L84" s="31"/>
      <c r="M84" s="31"/>
      <c r="N84" s="31"/>
      <c r="O84" s="31"/>
      <c r="P84" s="31"/>
      <c r="Q84" s="102"/>
      <c r="R84" s="31"/>
      <c r="S84" s="31"/>
      <c r="T84" s="31"/>
      <c r="U84" s="31"/>
      <c r="V84" s="31"/>
      <c r="W84" s="31"/>
      <c r="X84" s="40"/>
      <c r="Y84" s="40"/>
      <c r="Z84" s="40"/>
      <c r="AA84" s="40"/>
      <c r="AB84" s="40"/>
      <c r="AC84" s="40"/>
      <c r="AD84" s="40"/>
    </row>
    <row r="85" spans="1:30" s="39" customFormat="1" ht="12.95" customHeight="1">
      <c r="A85" s="31"/>
      <c r="B85" s="31"/>
      <c r="C85" s="102"/>
      <c r="D85" s="102"/>
      <c r="E85" s="102"/>
      <c r="F85" s="102"/>
      <c r="G85" s="102"/>
      <c r="H85" s="102"/>
      <c r="I85" s="31"/>
      <c r="J85" s="102"/>
      <c r="K85" s="31"/>
      <c r="L85" s="31"/>
      <c r="M85" s="31"/>
      <c r="N85" s="31"/>
      <c r="O85" s="31"/>
      <c r="P85" s="31"/>
      <c r="Q85" s="102"/>
      <c r="R85" s="31"/>
      <c r="S85" s="31"/>
      <c r="T85" s="31"/>
      <c r="U85" s="31"/>
      <c r="V85" s="31"/>
      <c r="W85" s="31"/>
      <c r="X85" s="40"/>
      <c r="Y85" s="40"/>
      <c r="Z85" s="40"/>
      <c r="AA85" s="40"/>
      <c r="AB85" s="40"/>
      <c r="AC85" s="40"/>
      <c r="AD85" s="40"/>
    </row>
    <row r="86" spans="1:30" s="39" customFormat="1" ht="12.95" customHeight="1">
      <c r="A86" s="31"/>
      <c r="B86" s="31"/>
      <c r="C86" s="102"/>
      <c r="D86" s="102"/>
      <c r="E86" s="102"/>
      <c r="F86" s="102"/>
      <c r="G86" s="102"/>
      <c r="H86" s="102"/>
      <c r="I86" s="31"/>
      <c r="J86" s="102"/>
      <c r="K86" s="31"/>
      <c r="L86" s="31"/>
      <c r="M86" s="31"/>
      <c r="N86" s="31"/>
      <c r="O86" s="31"/>
      <c r="P86" s="31"/>
      <c r="Q86" s="102"/>
      <c r="R86" s="31"/>
      <c r="S86" s="31"/>
      <c r="T86" s="31"/>
      <c r="U86" s="31"/>
      <c r="V86" s="31"/>
      <c r="W86" s="31"/>
      <c r="X86" s="40"/>
      <c r="Y86" s="40"/>
      <c r="Z86" s="40"/>
      <c r="AA86" s="40"/>
      <c r="AB86" s="40"/>
      <c r="AC86" s="40"/>
      <c r="AD86" s="40"/>
    </row>
    <row r="87" spans="1:30" s="39" customFormat="1" ht="12.95" customHeight="1">
      <c r="A87" s="31"/>
      <c r="B87" s="31"/>
      <c r="C87" s="102"/>
      <c r="D87" s="102"/>
      <c r="E87" s="102"/>
      <c r="F87" s="102"/>
      <c r="G87" s="102"/>
      <c r="H87" s="102"/>
      <c r="I87" s="31"/>
      <c r="J87" s="102"/>
      <c r="K87" s="31"/>
      <c r="L87" s="31"/>
      <c r="M87" s="31"/>
      <c r="N87" s="31"/>
      <c r="O87" s="31"/>
      <c r="P87" s="31"/>
      <c r="Q87" s="102"/>
      <c r="R87" s="31"/>
      <c r="S87" s="31"/>
      <c r="T87" s="31"/>
      <c r="U87" s="31"/>
      <c r="V87" s="31"/>
      <c r="W87" s="31"/>
      <c r="X87" s="40"/>
      <c r="Y87" s="40"/>
      <c r="Z87" s="40"/>
      <c r="AA87" s="40"/>
      <c r="AB87" s="40"/>
      <c r="AC87" s="40"/>
      <c r="AD87" s="40"/>
    </row>
    <row r="88" spans="1:30" s="39" customFormat="1" ht="12.95" customHeight="1">
      <c r="A88" s="31"/>
      <c r="B88" s="31"/>
      <c r="C88" s="102"/>
      <c r="D88" s="102"/>
      <c r="E88" s="102"/>
      <c r="F88" s="102"/>
      <c r="G88" s="102"/>
      <c r="H88" s="102"/>
      <c r="I88" s="31"/>
      <c r="J88" s="102"/>
      <c r="K88" s="31"/>
      <c r="L88" s="31"/>
      <c r="M88" s="31"/>
      <c r="N88" s="31"/>
      <c r="O88" s="31"/>
      <c r="P88" s="31"/>
      <c r="Q88" s="102"/>
      <c r="R88" s="31"/>
      <c r="S88" s="31"/>
      <c r="T88" s="31"/>
      <c r="U88" s="31"/>
      <c r="V88" s="31"/>
      <c r="W88" s="31"/>
      <c r="X88" s="40"/>
      <c r="Y88" s="40"/>
      <c r="Z88" s="40"/>
      <c r="AA88" s="40"/>
      <c r="AB88" s="40"/>
      <c r="AC88" s="40"/>
      <c r="AD88" s="40"/>
    </row>
    <row r="89" spans="1:30" s="39" customFormat="1" ht="12.95" customHeight="1">
      <c r="A89" s="31"/>
      <c r="B89" s="31"/>
      <c r="C89" s="102"/>
      <c r="D89" s="102"/>
      <c r="E89" s="102"/>
      <c r="F89" s="102"/>
      <c r="G89" s="102"/>
      <c r="H89" s="102"/>
      <c r="I89" s="31"/>
      <c r="J89" s="102"/>
      <c r="K89" s="31"/>
      <c r="L89" s="31"/>
      <c r="M89" s="31"/>
      <c r="N89" s="31"/>
      <c r="O89" s="31"/>
      <c r="P89" s="31"/>
      <c r="Q89" s="102"/>
      <c r="R89" s="31"/>
      <c r="S89" s="31"/>
      <c r="T89" s="31"/>
      <c r="U89" s="31"/>
      <c r="V89" s="31"/>
      <c r="W89" s="31"/>
      <c r="X89" s="40"/>
      <c r="Y89" s="40"/>
      <c r="Z89" s="40"/>
      <c r="AA89" s="40"/>
      <c r="AB89" s="40"/>
      <c r="AC89" s="40"/>
      <c r="AD89" s="40"/>
    </row>
    <row r="90" spans="1:30" s="39" customFormat="1" ht="12.95" customHeight="1">
      <c r="A90" s="31"/>
      <c r="B90" s="31"/>
      <c r="C90" s="102"/>
      <c r="D90" s="102"/>
      <c r="E90" s="102"/>
      <c r="F90" s="102"/>
      <c r="G90" s="102"/>
      <c r="H90" s="102"/>
      <c r="I90" s="31"/>
      <c r="J90" s="102"/>
      <c r="K90" s="31"/>
      <c r="L90" s="31"/>
      <c r="M90" s="31"/>
      <c r="N90" s="31"/>
      <c r="O90" s="31"/>
      <c r="P90" s="31"/>
      <c r="Q90" s="102"/>
      <c r="R90" s="31"/>
      <c r="S90" s="31"/>
      <c r="T90" s="31"/>
      <c r="U90" s="31"/>
      <c r="V90" s="31"/>
      <c r="W90" s="31"/>
      <c r="X90" s="40"/>
      <c r="Y90" s="40"/>
      <c r="Z90" s="40"/>
      <c r="AA90" s="40"/>
      <c r="AB90" s="40"/>
      <c r="AC90" s="40"/>
      <c r="AD90" s="40"/>
    </row>
    <row r="91" spans="1:30" s="39" customFormat="1" ht="12.95" customHeight="1">
      <c r="A91" s="31"/>
      <c r="B91" s="31"/>
      <c r="C91" s="102"/>
      <c r="D91" s="102"/>
      <c r="E91" s="102"/>
      <c r="F91" s="102"/>
      <c r="G91" s="102"/>
      <c r="H91" s="102"/>
      <c r="I91" s="31"/>
      <c r="J91" s="102"/>
      <c r="K91" s="31"/>
      <c r="L91" s="31"/>
      <c r="M91" s="31"/>
      <c r="N91" s="31"/>
      <c r="O91" s="31"/>
      <c r="P91" s="31"/>
      <c r="Q91" s="102"/>
      <c r="R91" s="31"/>
      <c r="S91" s="31"/>
      <c r="T91" s="31"/>
      <c r="U91" s="31"/>
      <c r="V91" s="31"/>
      <c r="W91" s="31"/>
      <c r="X91" s="40"/>
      <c r="Y91" s="40"/>
      <c r="Z91" s="40"/>
      <c r="AA91" s="40"/>
      <c r="AB91" s="40"/>
      <c r="AC91" s="40"/>
      <c r="AD91" s="40"/>
    </row>
    <row r="92" spans="1:30" s="39" customFormat="1" ht="12.95" customHeight="1">
      <c r="A92" s="31"/>
      <c r="B92" s="31"/>
      <c r="C92" s="102"/>
      <c r="D92" s="102"/>
      <c r="E92" s="102"/>
      <c r="F92" s="102"/>
      <c r="G92" s="102"/>
      <c r="H92" s="102"/>
      <c r="I92" s="31"/>
      <c r="J92" s="102"/>
      <c r="K92" s="31"/>
      <c r="L92" s="31"/>
      <c r="M92" s="31"/>
      <c r="N92" s="31"/>
      <c r="O92" s="31"/>
      <c r="P92" s="31"/>
      <c r="Q92" s="102"/>
      <c r="R92" s="31"/>
      <c r="S92" s="31"/>
      <c r="T92" s="31"/>
      <c r="U92" s="31"/>
      <c r="V92" s="31"/>
      <c r="W92" s="31"/>
      <c r="X92" s="40"/>
      <c r="Y92" s="40"/>
      <c r="Z92" s="40"/>
      <c r="AA92" s="40"/>
      <c r="AB92" s="40"/>
      <c r="AC92" s="40"/>
      <c r="AD92" s="40"/>
    </row>
    <row r="93" spans="1:30" s="39" customFormat="1" ht="12.95" customHeight="1">
      <c r="A93" s="31"/>
      <c r="B93" s="31"/>
      <c r="C93" s="102"/>
      <c r="D93" s="102"/>
      <c r="E93" s="102"/>
      <c r="F93" s="102"/>
      <c r="G93" s="102"/>
      <c r="H93" s="102"/>
      <c r="I93" s="31"/>
      <c r="J93" s="102"/>
      <c r="K93" s="31"/>
      <c r="L93" s="31"/>
      <c r="M93" s="31"/>
      <c r="N93" s="31"/>
      <c r="O93" s="31"/>
      <c r="P93" s="31"/>
      <c r="Q93" s="102"/>
      <c r="R93" s="31"/>
      <c r="S93" s="31"/>
      <c r="T93" s="31"/>
      <c r="U93" s="31"/>
      <c r="V93" s="31"/>
      <c r="W93" s="31"/>
      <c r="X93" s="40"/>
      <c r="Y93" s="40"/>
      <c r="Z93" s="40"/>
      <c r="AA93" s="40"/>
      <c r="AB93" s="40"/>
      <c r="AC93" s="40"/>
      <c r="AD93" s="40"/>
    </row>
    <row r="94" spans="1:30" s="39" customFormat="1" ht="12.95" customHeight="1">
      <c r="A94" s="31"/>
      <c r="B94" s="31"/>
      <c r="C94" s="102"/>
      <c r="D94" s="102"/>
      <c r="E94" s="102"/>
      <c r="F94" s="102"/>
      <c r="G94" s="102"/>
      <c r="H94" s="102"/>
      <c r="I94" s="31"/>
      <c r="J94" s="102"/>
      <c r="K94" s="31"/>
      <c r="L94" s="31"/>
      <c r="M94" s="31"/>
      <c r="N94" s="31"/>
      <c r="O94" s="31"/>
      <c r="P94" s="31"/>
      <c r="Q94" s="102"/>
      <c r="R94" s="31"/>
      <c r="S94" s="31"/>
      <c r="T94" s="31"/>
      <c r="U94" s="31"/>
      <c r="V94" s="31"/>
      <c r="W94" s="31"/>
      <c r="X94" s="40"/>
      <c r="Y94" s="40"/>
      <c r="Z94" s="40"/>
      <c r="AA94" s="40"/>
      <c r="AB94" s="40"/>
      <c r="AC94" s="40"/>
      <c r="AD94" s="40"/>
    </row>
    <row r="95" spans="1:30" s="39" customFormat="1" ht="12.95" customHeight="1">
      <c r="A95" s="31"/>
      <c r="B95" s="31"/>
      <c r="C95" s="102"/>
      <c r="D95" s="102"/>
      <c r="E95" s="102"/>
      <c r="F95" s="102"/>
      <c r="G95" s="102"/>
      <c r="H95" s="102"/>
      <c r="I95" s="31"/>
      <c r="J95" s="102"/>
      <c r="K95" s="31"/>
      <c r="L95" s="31"/>
      <c r="M95" s="31"/>
      <c r="N95" s="31"/>
      <c r="O95" s="31"/>
      <c r="P95" s="31"/>
      <c r="Q95" s="102"/>
      <c r="R95" s="31"/>
      <c r="S95" s="31"/>
      <c r="T95" s="31"/>
      <c r="U95" s="31"/>
      <c r="V95" s="31"/>
      <c r="W95" s="31"/>
      <c r="X95" s="40"/>
      <c r="Y95" s="40"/>
      <c r="Z95" s="40"/>
      <c r="AA95" s="40"/>
      <c r="AB95" s="40"/>
      <c r="AC95" s="40"/>
      <c r="AD95" s="40"/>
    </row>
    <row r="96" spans="1:30" s="39" customFormat="1" ht="12.95" customHeight="1">
      <c r="A96" s="31"/>
      <c r="B96" s="31"/>
      <c r="C96" s="102"/>
      <c r="D96" s="102"/>
      <c r="E96" s="102"/>
      <c r="F96" s="102"/>
      <c r="G96" s="102"/>
      <c r="H96" s="102"/>
      <c r="I96" s="31"/>
      <c r="J96" s="102"/>
      <c r="K96" s="31"/>
      <c r="L96" s="31"/>
      <c r="M96" s="31"/>
      <c r="N96" s="31"/>
      <c r="O96" s="31"/>
      <c r="P96" s="31"/>
      <c r="Q96" s="102"/>
      <c r="R96" s="31"/>
      <c r="S96" s="31"/>
      <c r="T96" s="31"/>
      <c r="U96" s="31"/>
      <c r="V96" s="31"/>
      <c r="W96" s="31"/>
      <c r="X96" s="40"/>
      <c r="Y96" s="40"/>
      <c r="Z96" s="40"/>
      <c r="AA96" s="40"/>
      <c r="AB96" s="40"/>
      <c r="AC96" s="40"/>
      <c r="AD96" s="40"/>
    </row>
    <row r="97" spans="1:30" s="39" customFormat="1" ht="12.95" customHeight="1">
      <c r="A97" s="31"/>
      <c r="B97" s="31"/>
      <c r="C97" s="102"/>
      <c r="D97" s="102"/>
      <c r="E97" s="102"/>
      <c r="F97" s="102"/>
      <c r="G97" s="102"/>
      <c r="H97" s="102"/>
      <c r="I97" s="31"/>
      <c r="J97" s="102"/>
      <c r="K97" s="31"/>
      <c r="L97" s="31"/>
      <c r="M97" s="31"/>
      <c r="N97" s="31"/>
      <c r="O97" s="31"/>
      <c r="P97" s="31"/>
      <c r="Q97" s="102"/>
      <c r="R97" s="31"/>
      <c r="S97" s="31"/>
      <c r="T97" s="31"/>
      <c r="U97" s="31"/>
      <c r="V97" s="31"/>
      <c r="W97" s="31"/>
      <c r="X97" s="40"/>
      <c r="Y97" s="40"/>
      <c r="Z97" s="40"/>
      <c r="AA97" s="40"/>
      <c r="AB97" s="40"/>
      <c r="AC97" s="40"/>
      <c r="AD97" s="40"/>
    </row>
    <row r="98" spans="1:30" s="39" customFormat="1" ht="12.95" customHeight="1">
      <c r="A98" s="31"/>
      <c r="B98" s="31"/>
      <c r="C98" s="102"/>
      <c r="D98" s="102"/>
      <c r="E98" s="102"/>
      <c r="F98" s="102"/>
      <c r="G98" s="102"/>
      <c r="H98" s="102"/>
      <c r="I98" s="31"/>
      <c r="J98" s="102"/>
      <c r="K98" s="31"/>
      <c r="L98" s="31"/>
      <c r="M98" s="31"/>
      <c r="N98" s="31"/>
      <c r="O98" s="31"/>
      <c r="P98" s="31"/>
      <c r="Q98" s="102"/>
      <c r="R98" s="31"/>
      <c r="S98" s="31"/>
      <c r="T98" s="31"/>
      <c r="U98" s="31"/>
      <c r="V98" s="31"/>
      <c r="W98" s="31"/>
      <c r="X98" s="40"/>
      <c r="Y98" s="40"/>
      <c r="Z98" s="40"/>
      <c r="AA98" s="40"/>
      <c r="AB98" s="40"/>
      <c r="AC98" s="40"/>
      <c r="AD98" s="40"/>
    </row>
    <row r="99" spans="1:30" s="39" customFormat="1" ht="12.95" customHeight="1">
      <c r="A99" s="31"/>
      <c r="B99" s="31"/>
      <c r="C99" s="102"/>
      <c r="D99" s="102"/>
      <c r="E99" s="102"/>
      <c r="F99" s="102"/>
      <c r="G99" s="102"/>
      <c r="H99" s="102"/>
      <c r="I99" s="31"/>
      <c r="J99" s="102"/>
      <c r="K99" s="31"/>
      <c r="L99" s="31"/>
      <c r="M99" s="31"/>
      <c r="N99" s="31"/>
      <c r="O99" s="31"/>
      <c r="P99" s="31"/>
      <c r="Q99" s="102"/>
      <c r="R99" s="31"/>
      <c r="S99" s="31"/>
      <c r="T99" s="31"/>
      <c r="U99" s="31"/>
      <c r="V99" s="31"/>
      <c r="W99" s="31"/>
      <c r="X99" s="40"/>
      <c r="Y99" s="40"/>
      <c r="Z99" s="40"/>
      <c r="AA99" s="40"/>
      <c r="AB99" s="40"/>
      <c r="AC99" s="40"/>
      <c r="AD99" s="40"/>
    </row>
    <row r="100" spans="1:30" s="39" customFormat="1" ht="12.95" customHeight="1">
      <c r="A100" s="31"/>
      <c r="B100" s="31"/>
      <c r="C100" s="102"/>
      <c r="D100" s="102"/>
      <c r="E100" s="102"/>
      <c r="F100" s="102"/>
      <c r="G100" s="102"/>
      <c r="H100" s="102"/>
      <c r="I100" s="31"/>
      <c r="J100" s="102"/>
      <c r="K100" s="31"/>
      <c r="L100" s="31"/>
      <c r="M100" s="31"/>
      <c r="N100" s="31"/>
      <c r="O100" s="31"/>
      <c r="P100" s="31"/>
      <c r="Q100" s="102"/>
      <c r="R100" s="31"/>
      <c r="S100" s="31"/>
      <c r="T100" s="31"/>
      <c r="U100" s="31"/>
      <c r="V100" s="31"/>
      <c r="W100" s="31"/>
      <c r="X100" s="40"/>
      <c r="Y100" s="40"/>
      <c r="Z100" s="40"/>
      <c r="AA100" s="40"/>
      <c r="AB100" s="40"/>
      <c r="AC100" s="40"/>
      <c r="AD100" s="40"/>
    </row>
    <row r="101" spans="1:30" s="39" customFormat="1" ht="12.95" customHeight="1">
      <c r="A101" s="31"/>
      <c r="B101" s="31"/>
      <c r="C101" s="102"/>
      <c r="D101" s="102"/>
      <c r="E101" s="102"/>
      <c r="F101" s="102"/>
      <c r="G101" s="102"/>
      <c r="H101" s="102"/>
      <c r="I101" s="31"/>
      <c r="J101" s="102"/>
      <c r="K101" s="31"/>
      <c r="L101" s="31"/>
      <c r="M101" s="31"/>
      <c r="N101" s="31"/>
      <c r="O101" s="31"/>
      <c r="P101" s="31"/>
      <c r="Q101" s="102"/>
      <c r="R101" s="31"/>
      <c r="S101" s="31"/>
      <c r="T101" s="31"/>
      <c r="U101" s="31"/>
      <c r="V101" s="31"/>
      <c r="W101" s="31"/>
      <c r="X101" s="40"/>
      <c r="Y101" s="40"/>
      <c r="Z101" s="40"/>
      <c r="AA101" s="40"/>
      <c r="AB101" s="40"/>
      <c r="AC101" s="40"/>
      <c r="AD101" s="40"/>
    </row>
    <row r="102" spans="1:30" s="39" customFormat="1" ht="12.95" customHeight="1">
      <c r="A102" s="31"/>
      <c r="B102" s="31"/>
      <c r="C102" s="102"/>
      <c r="D102" s="102"/>
      <c r="E102" s="102"/>
      <c r="F102" s="102"/>
      <c r="G102" s="102"/>
      <c r="H102" s="102"/>
      <c r="I102" s="31"/>
      <c r="J102" s="102"/>
      <c r="K102" s="31"/>
      <c r="L102" s="31"/>
      <c r="M102" s="31"/>
      <c r="N102" s="31"/>
      <c r="O102" s="31"/>
      <c r="P102" s="31"/>
      <c r="Q102" s="102"/>
      <c r="R102" s="31"/>
      <c r="S102" s="31"/>
      <c r="T102" s="31"/>
      <c r="U102" s="31"/>
      <c r="V102" s="31"/>
      <c r="W102" s="31"/>
      <c r="X102" s="40"/>
      <c r="Y102" s="40"/>
      <c r="Z102" s="40"/>
      <c r="AA102" s="40"/>
      <c r="AB102" s="40"/>
      <c r="AC102" s="40"/>
      <c r="AD102" s="40"/>
    </row>
    <row r="103" spans="1:30" s="39" customFormat="1" ht="12.95" customHeight="1">
      <c r="A103" s="31"/>
      <c r="B103" s="31"/>
      <c r="C103" s="102"/>
      <c r="D103" s="102"/>
      <c r="E103" s="102"/>
      <c r="F103" s="102"/>
      <c r="G103" s="102"/>
      <c r="H103" s="102"/>
      <c r="I103" s="31"/>
      <c r="J103" s="102"/>
      <c r="K103" s="31"/>
      <c r="L103" s="31"/>
      <c r="M103" s="31"/>
      <c r="N103" s="31"/>
      <c r="O103" s="31"/>
      <c r="P103" s="31"/>
      <c r="Q103" s="102"/>
      <c r="R103" s="31"/>
      <c r="S103" s="31"/>
      <c r="T103" s="31"/>
      <c r="U103" s="31"/>
      <c r="V103" s="31"/>
      <c r="W103" s="31"/>
      <c r="X103" s="40"/>
      <c r="Y103" s="40"/>
      <c r="Z103" s="40"/>
      <c r="AA103" s="40"/>
      <c r="AB103" s="40"/>
      <c r="AC103" s="40"/>
      <c r="AD103" s="40"/>
    </row>
    <row r="104" spans="1:30" s="39" customFormat="1" ht="12.95" customHeight="1">
      <c r="A104" s="31"/>
      <c r="B104" s="31"/>
      <c r="C104" s="102"/>
      <c r="D104" s="102"/>
      <c r="E104" s="102"/>
      <c r="F104" s="102"/>
      <c r="G104" s="102"/>
      <c r="H104" s="102"/>
      <c r="I104" s="31"/>
      <c r="J104" s="102"/>
      <c r="K104" s="31"/>
      <c r="L104" s="31"/>
      <c r="M104" s="31"/>
      <c r="N104" s="31"/>
      <c r="O104" s="31"/>
      <c r="P104" s="31"/>
      <c r="Q104" s="102"/>
      <c r="R104" s="31"/>
      <c r="S104" s="31"/>
      <c r="T104" s="31"/>
      <c r="U104" s="31"/>
      <c r="V104" s="31"/>
      <c r="W104" s="31"/>
      <c r="X104" s="40"/>
      <c r="Y104" s="40"/>
      <c r="Z104" s="40"/>
      <c r="AA104" s="40"/>
      <c r="AB104" s="40"/>
      <c r="AC104" s="40"/>
      <c r="AD104" s="40"/>
    </row>
    <row r="105" spans="1:30" s="39" customFormat="1" ht="12.95" customHeight="1">
      <c r="A105" s="31"/>
      <c r="B105" s="31"/>
      <c r="C105" s="102"/>
      <c r="D105" s="102"/>
      <c r="E105" s="102"/>
      <c r="F105" s="102"/>
      <c r="G105" s="102"/>
      <c r="H105" s="102"/>
      <c r="I105" s="31"/>
      <c r="J105" s="102"/>
      <c r="K105" s="31"/>
      <c r="L105" s="31"/>
      <c r="M105" s="31"/>
      <c r="N105" s="31"/>
      <c r="O105" s="31"/>
      <c r="P105" s="31"/>
      <c r="Q105" s="102"/>
      <c r="R105" s="31"/>
      <c r="S105" s="31"/>
      <c r="T105" s="31"/>
      <c r="U105" s="31"/>
      <c r="V105" s="31"/>
      <c r="W105" s="31"/>
      <c r="X105" s="40"/>
      <c r="Y105" s="40"/>
      <c r="Z105" s="40"/>
      <c r="AA105" s="40"/>
      <c r="AB105" s="40"/>
      <c r="AC105" s="40"/>
      <c r="AD105" s="40"/>
    </row>
    <row r="106" spans="1:30" s="39" customFormat="1" ht="12.95" customHeight="1">
      <c r="A106" s="31"/>
      <c r="B106" s="31"/>
      <c r="C106" s="102"/>
      <c r="D106" s="102"/>
      <c r="E106" s="102"/>
      <c r="F106" s="102"/>
      <c r="G106" s="102"/>
      <c r="H106" s="102"/>
      <c r="I106" s="31"/>
      <c r="J106" s="102"/>
      <c r="K106" s="31"/>
      <c r="L106" s="31"/>
      <c r="M106" s="31"/>
      <c r="N106" s="31"/>
      <c r="O106" s="31"/>
      <c r="P106" s="31"/>
      <c r="Q106" s="102"/>
      <c r="R106" s="31"/>
      <c r="S106" s="31"/>
      <c r="T106" s="31"/>
      <c r="U106" s="31"/>
      <c r="V106" s="31"/>
      <c r="W106" s="31"/>
      <c r="X106" s="40"/>
      <c r="Y106" s="40"/>
      <c r="Z106" s="40"/>
      <c r="AA106" s="40"/>
      <c r="AB106" s="40"/>
      <c r="AC106" s="40"/>
      <c r="AD106" s="40"/>
    </row>
    <row r="107" spans="1:30" s="39" customFormat="1" ht="12.95" customHeight="1">
      <c r="A107" s="31"/>
      <c r="B107" s="31"/>
      <c r="C107" s="102"/>
      <c r="D107" s="102"/>
      <c r="E107" s="102"/>
      <c r="F107" s="102"/>
      <c r="G107" s="102"/>
      <c r="H107" s="102"/>
      <c r="I107" s="31"/>
      <c r="J107" s="102"/>
      <c r="K107" s="31"/>
      <c r="L107" s="31"/>
      <c r="M107" s="31"/>
      <c r="N107" s="31"/>
      <c r="O107" s="31"/>
      <c r="P107" s="31"/>
      <c r="Q107" s="102"/>
      <c r="R107" s="31"/>
      <c r="S107" s="31"/>
      <c r="T107" s="31"/>
      <c r="U107" s="31"/>
      <c r="V107" s="31"/>
      <c r="W107" s="31"/>
      <c r="X107" s="40"/>
      <c r="Y107" s="40"/>
      <c r="Z107" s="40"/>
      <c r="AA107" s="40"/>
      <c r="AB107" s="40"/>
      <c r="AC107" s="40"/>
      <c r="AD107" s="40"/>
    </row>
    <row r="108" spans="1:30" s="39" customFormat="1" ht="12.95" customHeight="1">
      <c r="A108" s="31"/>
      <c r="B108" s="31"/>
      <c r="C108" s="102"/>
      <c r="D108" s="102"/>
      <c r="E108" s="102"/>
      <c r="F108" s="102"/>
      <c r="G108" s="102"/>
      <c r="H108" s="102"/>
      <c r="I108" s="31"/>
      <c r="J108" s="102"/>
      <c r="K108" s="31"/>
      <c r="L108" s="31"/>
      <c r="M108" s="31"/>
      <c r="N108" s="31"/>
      <c r="O108" s="31"/>
      <c r="P108" s="31"/>
      <c r="Q108" s="102"/>
      <c r="R108" s="31"/>
      <c r="S108" s="31"/>
      <c r="T108" s="31"/>
      <c r="U108" s="31"/>
      <c r="V108" s="31"/>
      <c r="W108" s="31"/>
      <c r="X108" s="40"/>
      <c r="Y108" s="40"/>
      <c r="Z108" s="40"/>
      <c r="AA108" s="40"/>
      <c r="AB108" s="40"/>
      <c r="AC108" s="40"/>
      <c r="AD108" s="40"/>
    </row>
    <row r="109" spans="1:30" s="39" customFormat="1" ht="12.95" customHeight="1">
      <c r="A109" s="16"/>
      <c r="B109" s="16"/>
      <c r="C109" s="99"/>
      <c r="D109" s="99"/>
      <c r="E109" s="99"/>
      <c r="F109" s="102"/>
      <c r="G109" s="102"/>
      <c r="H109" s="102"/>
      <c r="I109" s="31"/>
      <c r="J109" s="102"/>
      <c r="K109" s="31"/>
      <c r="L109" s="31"/>
      <c r="M109" s="31"/>
      <c r="N109" s="31"/>
      <c r="O109" s="31"/>
      <c r="P109" s="31"/>
      <c r="Q109" s="102"/>
      <c r="R109" s="16"/>
      <c r="S109" s="16"/>
      <c r="T109" s="16"/>
      <c r="U109" s="16"/>
      <c r="V109" s="16"/>
      <c r="W109" s="16"/>
    </row>
    <row r="110" spans="1:30" s="39" customFormat="1" ht="12.95" customHeight="1">
      <c r="A110" s="16"/>
      <c r="B110" s="16"/>
      <c r="C110" s="99"/>
      <c r="D110" s="99"/>
      <c r="E110" s="99"/>
      <c r="F110" s="102"/>
      <c r="G110" s="102"/>
      <c r="H110" s="102"/>
      <c r="I110" s="31"/>
      <c r="J110" s="102"/>
      <c r="K110" s="31"/>
      <c r="L110" s="31"/>
      <c r="M110" s="31"/>
      <c r="N110" s="31"/>
      <c r="O110" s="31"/>
      <c r="P110" s="31"/>
      <c r="Q110" s="102"/>
      <c r="R110" s="16"/>
      <c r="S110" s="16"/>
      <c r="T110" s="16"/>
      <c r="U110" s="16"/>
      <c r="V110" s="16"/>
      <c r="W110" s="16"/>
    </row>
    <row r="111" spans="1:30" s="39" customFormat="1" ht="12.95" customHeight="1">
      <c r="A111" s="16"/>
      <c r="B111" s="16"/>
      <c r="C111" s="99"/>
      <c r="D111" s="99"/>
      <c r="E111" s="99"/>
      <c r="F111" s="102"/>
      <c r="G111" s="102"/>
      <c r="H111" s="102"/>
      <c r="I111" s="31"/>
      <c r="J111" s="102"/>
      <c r="K111" s="31"/>
      <c r="L111" s="31"/>
      <c r="M111" s="31"/>
      <c r="N111" s="31"/>
      <c r="O111" s="31"/>
      <c r="P111" s="31"/>
      <c r="Q111" s="102"/>
      <c r="R111" s="16"/>
      <c r="S111" s="16"/>
      <c r="T111" s="16"/>
      <c r="U111" s="16"/>
      <c r="V111" s="16"/>
      <c r="W111" s="16"/>
    </row>
    <row r="112" spans="1:30" s="39" customFormat="1" ht="12.9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s="39" customFormat="1" ht="12.9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s="39" customFormat="1" ht="12.9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9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ht="12.9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2.9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2.9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1"/>
  <sheetViews>
    <sheetView topLeftCell="A10" zoomScaleNormal="100" workbookViewId="0">
      <selection activeCell="K28" sqref="K28"/>
    </sheetView>
  </sheetViews>
  <sheetFormatPr defaultRowHeight="15"/>
  <cols>
    <col min="2" max="2" width="12" bestFit="1" customWidth="1"/>
    <col min="3" max="3" width="16.7109375" bestFit="1" customWidth="1"/>
    <col min="4" max="4" width="11.42578125" customWidth="1"/>
    <col min="5" max="5" width="18.28515625" customWidth="1"/>
    <col min="6" max="6" width="11.42578125" customWidth="1"/>
    <col min="7" max="7" width="10.140625" customWidth="1"/>
    <col min="8" max="8" width="12.7109375" customWidth="1"/>
    <col min="9" max="9" width="11.5703125" customWidth="1"/>
    <col min="10" max="10" width="12" bestFit="1" customWidth="1"/>
    <col min="11" max="11" width="14" customWidth="1"/>
    <col min="12" max="12" width="11.5703125" customWidth="1"/>
    <col min="13" max="13" width="11.42578125" customWidth="1"/>
    <col min="14" max="14" width="12.5703125" customWidth="1"/>
    <col min="15" max="15" width="11.28515625" customWidth="1"/>
    <col min="16" max="16" width="34.5703125" customWidth="1"/>
    <col min="17" max="17" width="11" bestFit="1" customWidth="1"/>
    <col min="19" max="19" width="14.28515625" customWidth="1"/>
    <col min="22" max="22" width="39.42578125" customWidth="1"/>
    <col min="24" max="24" width="22.28515625" customWidth="1"/>
    <col min="28" max="28" width="21.28515625" customWidth="1"/>
    <col min="32" max="32" width="20.28515625" customWidth="1"/>
    <col min="36" max="36" width="34.42578125" customWidth="1"/>
    <col min="37" max="37" width="26.5703125" customWidth="1"/>
    <col min="38" max="38" width="16.42578125" customWidth="1"/>
    <col min="39" max="40" width="20.140625" customWidth="1"/>
    <col min="41" max="41" width="37.140625" customWidth="1"/>
    <col min="42" max="42" width="27" customWidth="1"/>
    <col min="43" max="43" width="12.140625" customWidth="1"/>
    <col min="44" max="44" width="12.42578125" bestFit="1" customWidth="1"/>
    <col min="47" max="47" width="34.85546875" customWidth="1"/>
    <col min="52" max="52" width="9.42578125" customWidth="1"/>
    <col min="261" max="261" width="12" bestFit="1" customWidth="1"/>
    <col min="262" max="262" width="16.7109375" bestFit="1" customWidth="1"/>
    <col min="263" max="263" width="11.42578125" customWidth="1"/>
    <col min="264" max="264" width="16.7109375" customWidth="1"/>
    <col min="265" max="265" width="11.42578125" customWidth="1"/>
    <col min="266" max="266" width="10.140625" customWidth="1"/>
    <col min="267" max="267" width="12.7109375" customWidth="1"/>
    <col min="268" max="268" width="11.5703125" customWidth="1"/>
    <col min="269" max="269" width="12" bestFit="1" customWidth="1"/>
    <col min="270" max="270" width="14" customWidth="1"/>
    <col min="271" max="271" width="11.5703125" customWidth="1"/>
    <col min="272" max="272" width="12.7109375" customWidth="1"/>
    <col min="273" max="273" width="12.5703125" customWidth="1"/>
    <col min="274" max="274" width="11.28515625" customWidth="1"/>
    <col min="275" max="275" width="34.5703125" customWidth="1"/>
    <col min="276" max="276" width="11" bestFit="1" customWidth="1"/>
    <col min="278" max="278" width="14.28515625" customWidth="1"/>
    <col min="281" max="281" width="39.42578125" customWidth="1"/>
    <col min="283" max="283" width="22.28515625" customWidth="1"/>
    <col min="287" max="287" width="21.28515625" customWidth="1"/>
    <col min="291" max="291" width="20.28515625" customWidth="1"/>
    <col min="295" max="295" width="34.42578125" customWidth="1"/>
    <col min="296" max="296" width="26.5703125" customWidth="1"/>
    <col min="297" max="297" width="16.42578125" customWidth="1"/>
    <col min="298" max="299" width="20.140625" customWidth="1"/>
    <col min="300" max="300" width="37.140625" customWidth="1"/>
    <col min="301" max="301" width="27" customWidth="1"/>
    <col min="302" max="302" width="12.140625" customWidth="1"/>
    <col min="303" max="303" width="12.42578125" bestFit="1" customWidth="1"/>
    <col min="306" max="306" width="34.85546875" customWidth="1"/>
    <col min="311" max="311" width="9.42578125" customWidth="1"/>
    <col min="517" max="517" width="12" bestFit="1" customWidth="1"/>
    <col min="518" max="518" width="16.7109375" bestFit="1" customWidth="1"/>
    <col min="519" max="519" width="11.42578125" customWidth="1"/>
    <col min="520" max="520" width="16.7109375" customWidth="1"/>
    <col min="521" max="521" width="11.42578125" customWidth="1"/>
    <col min="522" max="522" width="10.140625" customWidth="1"/>
    <col min="523" max="523" width="12.7109375" customWidth="1"/>
    <col min="524" max="524" width="11.5703125" customWidth="1"/>
    <col min="525" max="525" width="12" bestFit="1" customWidth="1"/>
    <col min="526" max="526" width="14" customWidth="1"/>
    <col min="527" max="527" width="11.5703125" customWidth="1"/>
    <col min="528" max="528" width="12.7109375" customWidth="1"/>
    <col min="529" max="529" width="12.5703125" customWidth="1"/>
    <col min="530" max="530" width="11.28515625" customWidth="1"/>
    <col min="531" max="531" width="34.5703125" customWidth="1"/>
    <col min="532" max="532" width="11" bestFit="1" customWidth="1"/>
    <col min="534" max="534" width="14.28515625" customWidth="1"/>
    <col min="537" max="537" width="39.42578125" customWidth="1"/>
    <col min="539" max="539" width="22.28515625" customWidth="1"/>
    <col min="543" max="543" width="21.28515625" customWidth="1"/>
    <col min="547" max="547" width="20.28515625" customWidth="1"/>
    <col min="551" max="551" width="34.42578125" customWidth="1"/>
    <col min="552" max="552" width="26.5703125" customWidth="1"/>
    <col min="553" max="553" width="16.42578125" customWidth="1"/>
    <col min="554" max="555" width="20.140625" customWidth="1"/>
    <col min="556" max="556" width="37.140625" customWidth="1"/>
    <col min="557" max="557" width="27" customWidth="1"/>
    <col min="558" max="558" width="12.140625" customWidth="1"/>
    <col min="559" max="559" width="12.42578125" bestFit="1" customWidth="1"/>
    <col min="562" max="562" width="34.85546875" customWidth="1"/>
    <col min="567" max="567" width="9.42578125" customWidth="1"/>
    <col min="773" max="773" width="12" bestFit="1" customWidth="1"/>
    <col min="774" max="774" width="16.7109375" bestFit="1" customWidth="1"/>
    <col min="775" max="775" width="11.42578125" customWidth="1"/>
    <col min="776" max="776" width="16.7109375" customWidth="1"/>
    <col min="777" max="777" width="11.42578125" customWidth="1"/>
    <col min="778" max="778" width="10.140625" customWidth="1"/>
    <col min="779" max="779" width="12.7109375" customWidth="1"/>
    <col min="780" max="780" width="11.5703125" customWidth="1"/>
    <col min="781" max="781" width="12" bestFit="1" customWidth="1"/>
    <col min="782" max="782" width="14" customWidth="1"/>
    <col min="783" max="783" width="11.5703125" customWidth="1"/>
    <col min="784" max="784" width="12.7109375" customWidth="1"/>
    <col min="785" max="785" width="12.5703125" customWidth="1"/>
    <col min="786" max="786" width="11.28515625" customWidth="1"/>
    <col min="787" max="787" width="34.5703125" customWidth="1"/>
    <col min="788" max="788" width="11" bestFit="1" customWidth="1"/>
    <col min="790" max="790" width="14.28515625" customWidth="1"/>
    <col min="793" max="793" width="39.42578125" customWidth="1"/>
    <col min="795" max="795" width="22.28515625" customWidth="1"/>
    <col min="799" max="799" width="21.28515625" customWidth="1"/>
    <col min="803" max="803" width="20.28515625" customWidth="1"/>
    <col min="807" max="807" width="34.42578125" customWidth="1"/>
    <col min="808" max="808" width="26.5703125" customWidth="1"/>
    <col min="809" max="809" width="16.42578125" customWidth="1"/>
    <col min="810" max="811" width="20.140625" customWidth="1"/>
    <col min="812" max="812" width="37.140625" customWidth="1"/>
    <col min="813" max="813" width="27" customWidth="1"/>
    <col min="814" max="814" width="12.140625" customWidth="1"/>
    <col min="815" max="815" width="12.42578125" bestFit="1" customWidth="1"/>
    <col min="818" max="818" width="34.85546875" customWidth="1"/>
    <col min="823" max="823" width="9.42578125" customWidth="1"/>
    <col min="1029" max="1029" width="12" bestFit="1" customWidth="1"/>
    <col min="1030" max="1030" width="16.7109375" bestFit="1" customWidth="1"/>
    <col min="1031" max="1031" width="11.42578125" customWidth="1"/>
    <col min="1032" max="1032" width="16.7109375" customWidth="1"/>
    <col min="1033" max="1033" width="11.42578125" customWidth="1"/>
    <col min="1034" max="1034" width="10.140625" customWidth="1"/>
    <col min="1035" max="1035" width="12.7109375" customWidth="1"/>
    <col min="1036" max="1036" width="11.5703125" customWidth="1"/>
    <col min="1037" max="1037" width="12" bestFit="1" customWidth="1"/>
    <col min="1038" max="1038" width="14" customWidth="1"/>
    <col min="1039" max="1039" width="11.5703125" customWidth="1"/>
    <col min="1040" max="1040" width="12.7109375" customWidth="1"/>
    <col min="1041" max="1041" width="12.5703125" customWidth="1"/>
    <col min="1042" max="1042" width="11.28515625" customWidth="1"/>
    <col min="1043" max="1043" width="34.5703125" customWidth="1"/>
    <col min="1044" max="1044" width="11" bestFit="1" customWidth="1"/>
    <col min="1046" max="1046" width="14.28515625" customWidth="1"/>
    <col min="1049" max="1049" width="39.42578125" customWidth="1"/>
    <col min="1051" max="1051" width="22.28515625" customWidth="1"/>
    <col min="1055" max="1055" width="21.28515625" customWidth="1"/>
    <col min="1059" max="1059" width="20.28515625" customWidth="1"/>
    <col min="1063" max="1063" width="34.42578125" customWidth="1"/>
    <col min="1064" max="1064" width="26.5703125" customWidth="1"/>
    <col min="1065" max="1065" width="16.42578125" customWidth="1"/>
    <col min="1066" max="1067" width="20.140625" customWidth="1"/>
    <col min="1068" max="1068" width="37.140625" customWidth="1"/>
    <col min="1069" max="1069" width="27" customWidth="1"/>
    <col min="1070" max="1070" width="12.140625" customWidth="1"/>
    <col min="1071" max="1071" width="12.42578125" bestFit="1" customWidth="1"/>
    <col min="1074" max="1074" width="34.85546875" customWidth="1"/>
    <col min="1079" max="1079" width="9.42578125" customWidth="1"/>
    <col min="1285" max="1285" width="12" bestFit="1" customWidth="1"/>
    <col min="1286" max="1286" width="16.7109375" bestFit="1" customWidth="1"/>
    <col min="1287" max="1287" width="11.42578125" customWidth="1"/>
    <col min="1288" max="1288" width="16.7109375" customWidth="1"/>
    <col min="1289" max="1289" width="11.42578125" customWidth="1"/>
    <col min="1290" max="1290" width="10.140625" customWidth="1"/>
    <col min="1291" max="1291" width="12.7109375" customWidth="1"/>
    <col min="1292" max="1292" width="11.5703125" customWidth="1"/>
    <col min="1293" max="1293" width="12" bestFit="1" customWidth="1"/>
    <col min="1294" max="1294" width="14" customWidth="1"/>
    <col min="1295" max="1295" width="11.5703125" customWidth="1"/>
    <col min="1296" max="1296" width="12.7109375" customWidth="1"/>
    <col min="1297" max="1297" width="12.5703125" customWidth="1"/>
    <col min="1298" max="1298" width="11.28515625" customWidth="1"/>
    <col min="1299" max="1299" width="34.5703125" customWidth="1"/>
    <col min="1300" max="1300" width="11" bestFit="1" customWidth="1"/>
    <col min="1302" max="1302" width="14.28515625" customWidth="1"/>
    <col min="1305" max="1305" width="39.42578125" customWidth="1"/>
    <col min="1307" max="1307" width="22.28515625" customWidth="1"/>
    <col min="1311" max="1311" width="21.28515625" customWidth="1"/>
    <col min="1315" max="1315" width="20.28515625" customWidth="1"/>
    <col min="1319" max="1319" width="34.42578125" customWidth="1"/>
    <col min="1320" max="1320" width="26.5703125" customWidth="1"/>
    <col min="1321" max="1321" width="16.42578125" customWidth="1"/>
    <col min="1322" max="1323" width="20.140625" customWidth="1"/>
    <col min="1324" max="1324" width="37.140625" customWidth="1"/>
    <col min="1325" max="1325" width="27" customWidth="1"/>
    <col min="1326" max="1326" width="12.140625" customWidth="1"/>
    <col min="1327" max="1327" width="12.42578125" bestFit="1" customWidth="1"/>
    <col min="1330" max="1330" width="34.85546875" customWidth="1"/>
    <col min="1335" max="1335" width="9.42578125" customWidth="1"/>
    <col min="1541" max="1541" width="12" bestFit="1" customWidth="1"/>
    <col min="1542" max="1542" width="16.7109375" bestFit="1" customWidth="1"/>
    <col min="1543" max="1543" width="11.42578125" customWidth="1"/>
    <col min="1544" max="1544" width="16.7109375" customWidth="1"/>
    <col min="1545" max="1545" width="11.42578125" customWidth="1"/>
    <col min="1546" max="1546" width="10.140625" customWidth="1"/>
    <col min="1547" max="1547" width="12.7109375" customWidth="1"/>
    <col min="1548" max="1548" width="11.5703125" customWidth="1"/>
    <col min="1549" max="1549" width="12" bestFit="1" customWidth="1"/>
    <col min="1550" max="1550" width="14" customWidth="1"/>
    <col min="1551" max="1551" width="11.5703125" customWidth="1"/>
    <col min="1552" max="1552" width="12.7109375" customWidth="1"/>
    <col min="1553" max="1553" width="12.5703125" customWidth="1"/>
    <col min="1554" max="1554" width="11.28515625" customWidth="1"/>
    <col min="1555" max="1555" width="34.5703125" customWidth="1"/>
    <col min="1556" max="1556" width="11" bestFit="1" customWidth="1"/>
    <col min="1558" max="1558" width="14.28515625" customWidth="1"/>
    <col min="1561" max="1561" width="39.42578125" customWidth="1"/>
    <col min="1563" max="1563" width="22.28515625" customWidth="1"/>
    <col min="1567" max="1567" width="21.28515625" customWidth="1"/>
    <col min="1571" max="1571" width="20.28515625" customWidth="1"/>
    <col min="1575" max="1575" width="34.42578125" customWidth="1"/>
    <col min="1576" max="1576" width="26.5703125" customWidth="1"/>
    <col min="1577" max="1577" width="16.42578125" customWidth="1"/>
    <col min="1578" max="1579" width="20.140625" customWidth="1"/>
    <col min="1580" max="1580" width="37.140625" customWidth="1"/>
    <col min="1581" max="1581" width="27" customWidth="1"/>
    <col min="1582" max="1582" width="12.140625" customWidth="1"/>
    <col min="1583" max="1583" width="12.42578125" bestFit="1" customWidth="1"/>
    <col min="1586" max="1586" width="34.85546875" customWidth="1"/>
    <col min="1591" max="1591" width="9.42578125" customWidth="1"/>
    <col min="1797" max="1797" width="12" bestFit="1" customWidth="1"/>
    <col min="1798" max="1798" width="16.7109375" bestFit="1" customWidth="1"/>
    <col min="1799" max="1799" width="11.42578125" customWidth="1"/>
    <col min="1800" max="1800" width="16.7109375" customWidth="1"/>
    <col min="1801" max="1801" width="11.42578125" customWidth="1"/>
    <col min="1802" max="1802" width="10.140625" customWidth="1"/>
    <col min="1803" max="1803" width="12.7109375" customWidth="1"/>
    <col min="1804" max="1804" width="11.5703125" customWidth="1"/>
    <col min="1805" max="1805" width="12" bestFit="1" customWidth="1"/>
    <col min="1806" max="1806" width="14" customWidth="1"/>
    <col min="1807" max="1807" width="11.5703125" customWidth="1"/>
    <col min="1808" max="1808" width="12.7109375" customWidth="1"/>
    <col min="1809" max="1809" width="12.5703125" customWidth="1"/>
    <col min="1810" max="1810" width="11.28515625" customWidth="1"/>
    <col min="1811" max="1811" width="34.5703125" customWidth="1"/>
    <col min="1812" max="1812" width="11" bestFit="1" customWidth="1"/>
    <col min="1814" max="1814" width="14.28515625" customWidth="1"/>
    <col min="1817" max="1817" width="39.42578125" customWidth="1"/>
    <col min="1819" max="1819" width="22.28515625" customWidth="1"/>
    <col min="1823" max="1823" width="21.28515625" customWidth="1"/>
    <col min="1827" max="1827" width="20.28515625" customWidth="1"/>
    <col min="1831" max="1831" width="34.42578125" customWidth="1"/>
    <col min="1832" max="1832" width="26.5703125" customWidth="1"/>
    <col min="1833" max="1833" width="16.42578125" customWidth="1"/>
    <col min="1834" max="1835" width="20.140625" customWidth="1"/>
    <col min="1836" max="1836" width="37.140625" customWidth="1"/>
    <col min="1837" max="1837" width="27" customWidth="1"/>
    <col min="1838" max="1838" width="12.140625" customWidth="1"/>
    <col min="1839" max="1839" width="12.42578125" bestFit="1" customWidth="1"/>
    <col min="1842" max="1842" width="34.85546875" customWidth="1"/>
    <col min="1847" max="1847" width="9.42578125" customWidth="1"/>
    <col min="2053" max="2053" width="12" bestFit="1" customWidth="1"/>
    <col min="2054" max="2054" width="16.7109375" bestFit="1" customWidth="1"/>
    <col min="2055" max="2055" width="11.42578125" customWidth="1"/>
    <col min="2056" max="2056" width="16.7109375" customWidth="1"/>
    <col min="2057" max="2057" width="11.42578125" customWidth="1"/>
    <col min="2058" max="2058" width="10.140625" customWidth="1"/>
    <col min="2059" max="2059" width="12.7109375" customWidth="1"/>
    <col min="2060" max="2060" width="11.5703125" customWidth="1"/>
    <col min="2061" max="2061" width="12" bestFit="1" customWidth="1"/>
    <col min="2062" max="2062" width="14" customWidth="1"/>
    <col min="2063" max="2063" width="11.5703125" customWidth="1"/>
    <col min="2064" max="2064" width="12.7109375" customWidth="1"/>
    <col min="2065" max="2065" width="12.5703125" customWidth="1"/>
    <col min="2066" max="2066" width="11.28515625" customWidth="1"/>
    <col min="2067" max="2067" width="34.5703125" customWidth="1"/>
    <col min="2068" max="2068" width="11" bestFit="1" customWidth="1"/>
    <col min="2070" max="2070" width="14.28515625" customWidth="1"/>
    <col min="2073" max="2073" width="39.42578125" customWidth="1"/>
    <col min="2075" max="2075" width="22.28515625" customWidth="1"/>
    <col min="2079" max="2079" width="21.28515625" customWidth="1"/>
    <col min="2083" max="2083" width="20.28515625" customWidth="1"/>
    <col min="2087" max="2087" width="34.42578125" customWidth="1"/>
    <col min="2088" max="2088" width="26.5703125" customWidth="1"/>
    <col min="2089" max="2089" width="16.42578125" customWidth="1"/>
    <col min="2090" max="2091" width="20.140625" customWidth="1"/>
    <col min="2092" max="2092" width="37.140625" customWidth="1"/>
    <col min="2093" max="2093" width="27" customWidth="1"/>
    <col min="2094" max="2094" width="12.140625" customWidth="1"/>
    <col min="2095" max="2095" width="12.42578125" bestFit="1" customWidth="1"/>
    <col min="2098" max="2098" width="34.85546875" customWidth="1"/>
    <col min="2103" max="2103" width="9.42578125" customWidth="1"/>
    <col min="2309" max="2309" width="12" bestFit="1" customWidth="1"/>
    <col min="2310" max="2310" width="16.7109375" bestFit="1" customWidth="1"/>
    <col min="2311" max="2311" width="11.42578125" customWidth="1"/>
    <col min="2312" max="2312" width="16.7109375" customWidth="1"/>
    <col min="2313" max="2313" width="11.42578125" customWidth="1"/>
    <col min="2314" max="2314" width="10.140625" customWidth="1"/>
    <col min="2315" max="2315" width="12.7109375" customWidth="1"/>
    <col min="2316" max="2316" width="11.5703125" customWidth="1"/>
    <col min="2317" max="2317" width="12" bestFit="1" customWidth="1"/>
    <col min="2318" max="2318" width="14" customWidth="1"/>
    <col min="2319" max="2319" width="11.5703125" customWidth="1"/>
    <col min="2320" max="2320" width="12.7109375" customWidth="1"/>
    <col min="2321" max="2321" width="12.5703125" customWidth="1"/>
    <col min="2322" max="2322" width="11.28515625" customWidth="1"/>
    <col min="2323" max="2323" width="34.5703125" customWidth="1"/>
    <col min="2324" max="2324" width="11" bestFit="1" customWidth="1"/>
    <col min="2326" max="2326" width="14.28515625" customWidth="1"/>
    <col min="2329" max="2329" width="39.42578125" customWidth="1"/>
    <col min="2331" max="2331" width="22.28515625" customWidth="1"/>
    <col min="2335" max="2335" width="21.28515625" customWidth="1"/>
    <col min="2339" max="2339" width="20.28515625" customWidth="1"/>
    <col min="2343" max="2343" width="34.42578125" customWidth="1"/>
    <col min="2344" max="2344" width="26.5703125" customWidth="1"/>
    <col min="2345" max="2345" width="16.42578125" customWidth="1"/>
    <col min="2346" max="2347" width="20.140625" customWidth="1"/>
    <col min="2348" max="2348" width="37.140625" customWidth="1"/>
    <col min="2349" max="2349" width="27" customWidth="1"/>
    <col min="2350" max="2350" width="12.140625" customWidth="1"/>
    <col min="2351" max="2351" width="12.42578125" bestFit="1" customWidth="1"/>
    <col min="2354" max="2354" width="34.85546875" customWidth="1"/>
    <col min="2359" max="2359" width="9.42578125" customWidth="1"/>
    <col min="2565" max="2565" width="12" bestFit="1" customWidth="1"/>
    <col min="2566" max="2566" width="16.7109375" bestFit="1" customWidth="1"/>
    <col min="2567" max="2567" width="11.42578125" customWidth="1"/>
    <col min="2568" max="2568" width="16.7109375" customWidth="1"/>
    <col min="2569" max="2569" width="11.42578125" customWidth="1"/>
    <col min="2570" max="2570" width="10.140625" customWidth="1"/>
    <col min="2571" max="2571" width="12.7109375" customWidth="1"/>
    <col min="2572" max="2572" width="11.5703125" customWidth="1"/>
    <col min="2573" max="2573" width="12" bestFit="1" customWidth="1"/>
    <col min="2574" max="2574" width="14" customWidth="1"/>
    <col min="2575" max="2575" width="11.5703125" customWidth="1"/>
    <col min="2576" max="2576" width="12.7109375" customWidth="1"/>
    <col min="2577" max="2577" width="12.5703125" customWidth="1"/>
    <col min="2578" max="2578" width="11.28515625" customWidth="1"/>
    <col min="2579" max="2579" width="34.5703125" customWidth="1"/>
    <col min="2580" max="2580" width="11" bestFit="1" customWidth="1"/>
    <col min="2582" max="2582" width="14.28515625" customWidth="1"/>
    <col min="2585" max="2585" width="39.42578125" customWidth="1"/>
    <col min="2587" max="2587" width="22.28515625" customWidth="1"/>
    <col min="2591" max="2591" width="21.28515625" customWidth="1"/>
    <col min="2595" max="2595" width="20.28515625" customWidth="1"/>
    <col min="2599" max="2599" width="34.42578125" customWidth="1"/>
    <col min="2600" max="2600" width="26.5703125" customWidth="1"/>
    <col min="2601" max="2601" width="16.42578125" customWidth="1"/>
    <col min="2602" max="2603" width="20.140625" customWidth="1"/>
    <col min="2604" max="2604" width="37.140625" customWidth="1"/>
    <col min="2605" max="2605" width="27" customWidth="1"/>
    <col min="2606" max="2606" width="12.140625" customWidth="1"/>
    <col min="2607" max="2607" width="12.42578125" bestFit="1" customWidth="1"/>
    <col min="2610" max="2610" width="34.85546875" customWidth="1"/>
    <col min="2615" max="2615" width="9.42578125" customWidth="1"/>
    <col min="2821" max="2821" width="12" bestFit="1" customWidth="1"/>
    <col min="2822" max="2822" width="16.7109375" bestFit="1" customWidth="1"/>
    <col min="2823" max="2823" width="11.42578125" customWidth="1"/>
    <col min="2824" max="2824" width="16.7109375" customWidth="1"/>
    <col min="2825" max="2825" width="11.42578125" customWidth="1"/>
    <col min="2826" max="2826" width="10.140625" customWidth="1"/>
    <col min="2827" max="2827" width="12.7109375" customWidth="1"/>
    <col min="2828" max="2828" width="11.5703125" customWidth="1"/>
    <col min="2829" max="2829" width="12" bestFit="1" customWidth="1"/>
    <col min="2830" max="2830" width="14" customWidth="1"/>
    <col min="2831" max="2831" width="11.5703125" customWidth="1"/>
    <col min="2832" max="2832" width="12.7109375" customWidth="1"/>
    <col min="2833" max="2833" width="12.5703125" customWidth="1"/>
    <col min="2834" max="2834" width="11.28515625" customWidth="1"/>
    <col min="2835" max="2835" width="34.5703125" customWidth="1"/>
    <col min="2836" max="2836" width="11" bestFit="1" customWidth="1"/>
    <col min="2838" max="2838" width="14.28515625" customWidth="1"/>
    <col min="2841" max="2841" width="39.42578125" customWidth="1"/>
    <col min="2843" max="2843" width="22.28515625" customWidth="1"/>
    <col min="2847" max="2847" width="21.28515625" customWidth="1"/>
    <col min="2851" max="2851" width="20.28515625" customWidth="1"/>
    <col min="2855" max="2855" width="34.42578125" customWidth="1"/>
    <col min="2856" max="2856" width="26.5703125" customWidth="1"/>
    <col min="2857" max="2857" width="16.42578125" customWidth="1"/>
    <col min="2858" max="2859" width="20.140625" customWidth="1"/>
    <col min="2860" max="2860" width="37.140625" customWidth="1"/>
    <col min="2861" max="2861" width="27" customWidth="1"/>
    <col min="2862" max="2862" width="12.140625" customWidth="1"/>
    <col min="2863" max="2863" width="12.42578125" bestFit="1" customWidth="1"/>
    <col min="2866" max="2866" width="34.85546875" customWidth="1"/>
    <col min="2871" max="2871" width="9.42578125" customWidth="1"/>
    <col min="3077" max="3077" width="12" bestFit="1" customWidth="1"/>
    <col min="3078" max="3078" width="16.7109375" bestFit="1" customWidth="1"/>
    <col min="3079" max="3079" width="11.42578125" customWidth="1"/>
    <col min="3080" max="3080" width="16.7109375" customWidth="1"/>
    <col min="3081" max="3081" width="11.42578125" customWidth="1"/>
    <col min="3082" max="3082" width="10.140625" customWidth="1"/>
    <col min="3083" max="3083" width="12.7109375" customWidth="1"/>
    <col min="3084" max="3084" width="11.5703125" customWidth="1"/>
    <col min="3085" max="3085" width="12" bestFit="1" customWidth="1"/>
    <col min="3086" max="3086" width="14" customWidth="1"/>
    <col min="3087" max="3087" width="11.5703125" customWidth="1"/>
    <col min="3088" max="3088" width="12.7109375" customWidth="1"/>
    <col min="3089" max="3089" width="12.5703125" customWidth="1"/>
    <col min="3090" max="3090" width="11.28515625" customWidth="1"/>
    <col min="3091" max="3091" width="34.5703125" customWidth="1"/>
    <col min="3092" max="3092" width="11" bestFit="1" customWidth="1"/>
    <col min="3094" max="3094" width="14.28515625" customWidth="1"/>
    <col min="3097" max="3097" width="39.42578125" customWidth="1"/>
    <col min="3099" max="3099" width="22.28515625" customWidth="1"/>
    <col min="3103" max="3103" width="21.28515625" customWidth="1"/>
    <col min="3107" max="3107" width="20.28515625" customWidth="1"/>
    <col min="3111" max="3111" width="34.42578125" customWidth="1"/>
    <col min="3112" max="3112" width="26.5703125" customWidth="1"/>
    <col min="3113" max="3113" width="16.42578125" customWidth="1"/>
    <col min="3114" max="3115" width="20.140625" customWidth="1"/>
    <col min="3116" max="3116" width="37.140625" customWidth="1"/>
    <col min="3117" max="3117" width="27" customWidth="1"/>
    <col min="3118" max="3118" width="12.140625" customWidth="1"/>
    <col min="3119" max="3119" width="12.42578125" bestFit="1" customWidth="1"/>
    <col min="3122" max="3122" width="34.85546875" customWidth="1"/>
    <col min="3127" max="3127" width="9.42578125" customWidth="1"/>
    <col min="3333" max="3333" width="12" bestFit="1" customWidth="1"/>
    <col min="3334" max="3334" width="16.7109375" bestFit="1" customWidth="1"/>
    <col min="3335" max="3335" width="11.42578125" customWidth="1"/>
    <col min="3336" max="3336" width="16.7109375" customWidth="1"/>
    <col min="3337" max="3337" width="11.42578125" customWidth="1"/>
    <col min="3338" max="3338" width="10.140625" customWidth="1"/>
    <col min="3339" max="3339" width="12.7109375" customWidth="1"/>
    <col min="3340" max="3340" width="11.5703125" customWidth="1"/>
    <col min="3341" max="3341" width="12" bestFit="1" customWidth="1"/>
    <col min="3342" max="3342" width="14" customWidth="1"/>
    <col min="3343" max="3343" width="11.5703125" customWidth="1"/>
    <col min="3344" max="3344" width="12.7109375" customWidth="1"/>
    <col min="3345" max="3345" width="12.5703125" customWidth="1"/>
    <col min="3346" max="3346" width="11.28515625" customWidth="1"/>
    <col min="3347" max="3347" width="34.5703125" customWidth="1"/>
    <col min="3348" max="3348" width="11" bestFit="1" customWidth="1"/>
    <col min="3350" max="3350" width="14.28515625" customWidth="1"/>
    <col min="3353" max="3353" width="39.42578125" customWidth="1"/>
    <col min="3355" max="3355" width="22.28515625" customWidth="1"/>
    <col min="3359" max="3359" width="21.28515625" customWidth="1"/>
    <col min="3363" max="3363" width="20.28515625" customWidth="1"/>
    <col min="3367" max="3367" width="34.42578125" customWidth="1"/>
    <col min="3368" max="3368" width="26.5703125" customWidth="1"/>
    <col min="3369" max="3369" width="16.42578125" customWidth="1"/>
    <col min="3370" max="3371" width="20.140625" customWidth="1"/>
    <col min="3372" max="3372" width="37.140625" customWidth="1"/>
    <col min="3373" max="3373" width="27" customWidth="1"/>
    <col min="3374" max="3374" width="12.140625" customWidth="1"/>
    <col min="3375" max="3375" width="12.42578125" bestFit="1" customWidth="1"/>
    <col min="3378" max="3378" width="34.85546875" customWidth="1"/>
    <col min="3383" max="3383" width="9.42578125" customWidth="1"/>
    <col min="3589" max="3589" width="12" bestFit="1" customWidth="1"/>
    <col min="3590" max="3590" width="16.7109375" bestFit="1" customWidth="1"/>
    <col min="3591" max="3591" width="11.42578125" customWidth="1"/>
    <col min="3592" max="3592" width="16.7109375" customWidth="1"/>
    <col min="3593" max="3593" width="11.42578125" customWidth="1"/>
    <col min="3594" max="3594" width="10.140625" customWidth="1"/>
    <col min="3595" max="3595" width="12.7109375" customWidth="1"/>
    <col min="3596" max="3596" width="11.5703125" customWidth="1"/>
    <col min="3597" max="3597" width="12" bestFit="1" customWidth="1"/>
    <col min="3598" max="3598" width="14" customWidth="1"/>
    <col min="3599" max="3599" width="11.5703125" customWidth="1"/>
    <col min="3600" max="3600" width="12.7109375" customWidth="1"/>
    <col min="3601" max="3601" width="12.5703125" customWidth="1"/>
    <col min="3602" max="3602" width="11.28515625" customWidth="1"/>
    <col min="3603" max="3603" width="34.5703125" customWidth="1"/>
    <col min="3604" max="3604" width="11" bestFit="1" customWidth="1"/>
    <col min="3606" max="3606" width="14.28515625" customWidth="1"/>
    <col min="3609" max="3609" width="39.42578125" customWidth="1"/>
    <col min="3611" max="3611" width="22.28515625" customWidth="1"/>
    <col min="3615" max="3615" width="21.28515625" customWidth="1"/>
    <col min="3619" max="3619" width="20.28515625" customWidth="1"/>
    <col min="3623" max="3623" width="34.42578125" customWidth="1"/>
    <col min="3624" max="3624" width="26.5703125" customWidth="1"/>
    <col min="3625" max="3625" width="16.42578125" customWidth="1"/>
    <col min="3626" max="3627" width="20.140625" customWidth="1"/>
    <col min="3628" max="3628" width="37.140625" customWidth="1"/>
    <col min="3629" max="3629" width="27" customWidth="1"/>
    <col min="3630" max="3630" width="12.140625" customWidth="1"/>
    <col min="3631" max="3631" width="12.42578125" bestFit="1" customWidth="1"/>
    <col min="3634" max="3634" width="34.85546875" customWidth="1"/>
    <col min="3639" max="3639" width="9.42578125" customWidth="1"/>
    <col min="3845" max="3845" width="12" bestFit="1" customWidth="1"/>
    <col min="3846" max="3846" width="16.7109375" bestFit="1" customWidth="1"/>
    <col min="3847" max="3847" width="11.42578125" customWidth="1"/>
    <col min="3848" max="3848" width="16.7109375" customWidth="1"/>
    <col min="3849" max="3849" width="11.42578125" customWidth="1"/>
    <col min="3850" max="3850" width="10.140625" customWidth="1"/>
    <col min="3851" max="3851" width="12.7109375" customWidth="1"/>
    <col min="3852" max="3852" width="11.5703125" customWidth="1"/>
    <col min="3853" max="3853" width="12" bestFit="1" customWidth="1"/>
    <col min="3854" max="3854" width="14" customWidth="1"/>
    <col min="3855" max="3855" width="11.5703125" customWidth="1"/>
    <col min="3856" max="3856" width="12.7109375" customWidth="1"/>
    <col min="3857" max="3857" width="12.5703125" customWidth="1"/>
    <col min="3858" max="3858" width="11.28515625" customWidth="1"/>
    <col min="3859" max="3859" width="34.5703125" customWidth="1"/>
    <col min="3860" max="3860" width="11" bestFit="1" customWidth="1"/>
    <col min="3862" max="3862" width="14.28515625" customWidth="1"/>
    <col min="3865" max="3865" width="39.42578125" customWidth="1"/>
    <col min="3867" max="3867" width="22.28515625" customWidth="1"/>
    <col min="3871" max="3871" width="21.28515625" customWidth="1"/>
    <col min="3875" max="3875" width="20.28515625" customWidth="1"/>
    <col min="3879" max="3879" width="34.42578125" customWidth="1"/>
    <col min="3880" max="3880" width="26.5703125" customWidth="1"/>
    <col min="3881" max="3881" width="16.42578125" customWidth="1"/>
    <col min="3882" max="3883" width="20.140625" customWidth="1"/>
    <col min="3884" max="3884" width="37.140625" customWidth="1"/>
    <col min="3885" max="3885" width="27" customWidth="1"/>
    <col min="3886" max="3886" width="12.140625" customWidth="1"/>
    <col min="3887" max="3887" width="12.42578125" bestFit="1" customWidth="1"/>
    <col min="3890" max="3890" width="34.85546875" customWidth="1"/>
    <col min="3895" max="3895" width="9.42578125" customWidth="1"/>
    <col min="4101" max="4101" width="12" bestFit="1" customWidth="1"/>
    <col min="4102" max="4102" width="16.7109375" bestFit="1" customWidth="1"/>
    <col min="4103" max="4103" width="11.42578125" customWidth="1"/>
    <col min="4104" max="4104" width="16.7109375" customWidth="1"/>
    <col min="4105" max="4105" width="11.42578125" customWidth="1"/>
    <col min="4106" max="4106" width="10.140625" customWidth="1"/>
    <col min="4107" max="4107" width="12.7109375" customWidth="1"/>
    <col min="4108" max="4108" width="11.5703125" customWidth="1"/>
    <col min="4109" max="4109" width="12" bestFit="1" customWidth="1"/>
    <col min="4110" max="4110" width="14" customWidth="1"/>
    <col min="4111" max="4111" width="11.5703125" customWidth="1"/>
    <col min="4112" max="4112" width="12.7109375" customWidth="1"/>
    <col min="4113" max="4113" width="12.5703125" customWidth="1"/>
    <col min="4114" max="4114" width="11.28515625" customWidth="1"/>
    <col min="4115" max="4115" width="34.5703125" customWidth="1"/>
    <col min="4116" max="4116" width="11" bestFit="1" customWidth="1"/>
    <col min="4118" max="4118" width="14.28515625" customWidth="1"/>
    <col min="4121" max="4121" width="39.42578125" customWidth="1"/>
    <col min="4123" max="4123" width="22.28515625" customWidth="1"/>
    <col min="4127" max="4127" width="21.28515625" customWidth="1"/>
    <col min="4131" max="4131" width="20.28515625" customWidth="1"/>
    <col min="4135" max="4135" width="34.42578125" customWidth="1"/>
    <col min="4136" max="4136" width="26.5703125" customWidth="1"/>
    <col min="4137" max="4137" width="16.42578125" customWidth="1"/>
    <col min="4138" max="4139" width="20.140625" customWidth="1"/>
    <col min="4140" max="4140" width="37.140625" customWidth="1"/>
    <col min="4141" max="4141" width="27" customWidth="1"/>
    <col min="4142" max="4142" width="12.140625" customWidth="1"/>
    <col min="4143" max="4143" width="12.42578125" bestFit="1" customWidth="1"/>
    <col min="4146" max="4146" width="34.85546875" customWidth="1"/>
    <col min="4151" max="4151" width="9.42578125" customWidth="1"/>
    <col min="4357" max="4357" width="12" bestFit="1" customWidth="1"/>
    <col min="4358" max="4358" width="16.7109375" bestFit="1" customWidth="1"/>
    <col min="4359" max="4359" width="11.42578125" customWidth="1"/>
    <col min="4360" max="4360" width="16.7109375" customWidth="1"/>
    <col min="4361" max="4361" width="11.42578125" customWidth="1"/>
    <col min="4362" max="4362" width="10.140625" customWidth="1"/>
    <col min="4363" max="4363" width="12.7109375" customWidth="1"/>
    <col min="4364" max="4364" width="11.5703125" customWidth="1"/>
    <col min="4365" max="4365" width="12" bestFit="1" customWidth="1"/>
    <col min="4366" max="4366" width="14" customWidth="1"/>
    <col min="4367" max="4367" width="11.5703125" customWidth="1"/>
    <col min="4368" max="4368" width="12.7109375" customWidth="1"/>
    <col min="4369" max="4369" width="12.5703125" customWidth="1"/>
    <col min="4370" max="4370" width="11.28515625" customWidth="1"/>
    <col min="4371" max="4371" width="34.5703125" customWidth="1"/>
    <col min="4372" max="4372" width="11" bestFit="1" customWidth="1"/>
    <col min="4374" max="4374" width="14.28515625" customWidth="1"/>
    <col min="4377" max="4377" width="39.42578125" customWidth="1"/>
    <col min="4379" max="4379" width="22.28515625" customWidth="1"/>
    <col min="4383" max="4383" width="21.28515625" customWidth="1"/>
    <col min="4387" max="4387" width="20.28515625" customWidth="1"/>
    <col min="4391" max="4391" width="34.42578125" customWidth="1"/>
    <col min="4392" max="4392" width="26.5703125" customWidth="1"/>
    <col min="4393" max="4393" width="16.42578125" customWidth="1"/>
    <col min="4394" max="4395" width="20.140625" customWidth="1"/>
    <col min="4396" max="4396" width="37.140625" customWidth="1"/>
    <col min="4397" max="4397" width="27" customWidth="1"/>
    <col min="4398" max="4398" width="12.140625" customWidth="1"/>
    <col min="4399" max="4399" width="12.42578125" bestFit="1" customWidth="1"/>
    <col min="4402" max="4402" width="34.85546875" customWidth="1"/>
    <col min="4407" max="4407" width="9.42578125" customWidth="1"/>
    <col min="4613" max="4613" width="12" bestFit="1" customWidth="1"/>
    <col min="4614" max="4614" width="16.7109375" bestFit="1" customWidth="1"/>
    <col min="4615" max="4615" width="11.42578125" customWidth="1"/>
    <col min="4616" max="4616" width="16.7109375" customWidth="1"/>
    <col min="4617" max="4617" width="11.42578125" customWidth="1"/>
    <col min="4618" max="4618" width="10.140625" customWidth="1"/>
    <col min="4619" max="4619" width="12.7109375" customWidth="1"/>
    <col min="4620" max="4620" width="11.5703125" customWidth="1"/>
    <col min="4621" max="4621" width="12" bestFit="1" customWidth="1"/>
    <col min="4622" max="4622" width="14" customWidth="1"/>
    <col min="4623" max="4623" width="11.5703125" customWidth="1"/>
    <col min="4624" max="4624" width="12.7109375" customWidth="1"/>
    <col min="4625" max="4625" width="12.5703125" customWidth="1"/>
    <col min="4626" max="4626" width="11.28515625" customWidth="1"/>
    <col min="4627" max="4627" width="34.5703125" customWidth="1"/>
    <col min="4628" max="4628" width="11" bestFit="1" customWidth="1"/>
    <col min="4630" max="4630" width="14.28515625" customWidth="1"/>
    <col min="4633" max="4633" width="39.42578125" customWidth="1"/>
    <col min="4635" max="4635" width="22.28515625" customWidth="1"/>
    <col min="4639" max="4639" width="21.28515625" customWidth="1"/>
    <col min="4643" max="4643" width="20.28515625" customWidth="1"/>
    <col min="4647" max="4647" width="34.42578125" customWidth="1"/>
    <col min="4648" max="4648" width="26.5703125" customWidth="1"/>
    <col min="4649" max="4649" width="16.42578125" customWidth="1"/>
    <col min="4650" max="4651" width="20.140625" customWidth="1"/>
    <col min="4652" max="4652" width="37.140625" customWidth="1"/>
    <col min="4653" max="4653" width="27" customWidth="1"/>
    <col min="4654" max="4654" width="12.140625" customWidth="1"/>
    <col min="4655" max="4655" width="12.42578125" bestFit="1" customWidth="1"/>
    <col min="4658" max="4658" width="34.85546875" customWidth="1"/>
    <col min="4663" max="4663" width="9.42578125" customWidth="1"/>
    <col min="4869" max="4869" width="12" bestFit="1" customWidth="1"/>
    <col min="4870" max="4870" width="16.7109375" bestFit="1" customWidth="1"/>
    <col min="4871" max="4871" width="11.42578125" customWidth="1"/>
    <col min="4872" max="4872" width="16.7109375" customWidth="1"/>
    <col min="4873" max="4873" width="11.42578125" customWidth="1"/>
    <col min="4874" max="4874" width="10.140625" customWidth="1"/>
    <col min="4875" max="4875" width="12.7109375" customWidth="1"/>
    <col min="4876" max="4876" width="11.5703125" customWidth="1"/>
    <col min="4877" max="4877" width="12" bestFit="1" customWidth="1"/>
    <col min="4878" max="4878" width="14" customWidth="1"/>
    <col min="4879" max="4879" width="11.5703125" customWidth="1"/>
    <col min="4880" max="4880" width="12.7109375" customWidth="1"/>
    <col min="4881" max="4881" width="12.5703125" customWidth="1"/>
    <col min="4882" max="4882" width="11.28515625" customWidth="1"/>
    <col min="4883" max="4883" width="34.5703125" customWidth="1"/>
    <col min="4884" max="4884" width="11" bestFit="1" customWidth="1"/>
    <col min="4886" max="4886" width="14.28515625" customWidth="1"/>
    <col min="4889" max="4889" width="39.42578125" customWidth="1"/>
    <col min="4891" max="4891" width="22.28515625" customWidth="1"/>
    <col min="4895" max="4895" width="21.28515625" customWidth="1"/>
    <col min="4899" max="4899" width="20.28515625" customWidth="1"/>
    <col min="4903" max="4903" width="34.42578125" customWidth="1"/>
    <col min="4904" max="4904" width="26.5703125" customWidth="1"/>
    <col min="4905" max="4905" width="16.42578125" customWidth="1"/>
    <col min="4906" max="4907" width="20.140625" customWidth="1"/>
    <col min="4908" max="4908" width="37.140625" customWidth="1"/>
    <col min="4909" max="4909" width="27" customWidth="1"/>
    <col min="4910" max="4910" width="12.140625" customWidth="1"/>
    <col min="4911" max="4911" width="12.42578125" bestFit="1" customWidth="1"/>
    <col min="4914" max="4914" width="34.85546875" customWidth="1"/>
    <col min="4919" max="4919" width="9.42578125" customWidth="1"/>
    <col min="5125" max="5125" width="12" bestFit="1" customWidth="1"/>
    <col min="5126" max="5126" width="16.7109375" bestFit="1" customWidth="1"/>
    <col min="5127" max="5127" width="11.42578125" customWidth="1"/>
    <col min="5128" max="5128" width="16.7109375" customWidth="1"/>
    <col min="5129" max="5129" width="11.42578125" customWidth="1"/>
    <col min="5130" max="5130" width="10.140625" customWidth="1"/>
    <col min="5131" max="5131" width="12.7109375" customWidth="1"/>
    <col min="5132" max="5132" width="11.5703125" customWidth="1"/>
    <col min="5133" max="5133" width="12" bestFit="1" customWidth="1"/>
    <col min="5134" max="5134" width="14" customWidth="1"/>
    <col min="5135" max="5135" width="11.5703125" customWidth="1"/>
    <col min="5136" max="5136" width="12.7109375" customWidth="1"/>
    <col min="5137" max="5137" width="12.5703125" customWidth="1"/>
    <col min="5138" max="5138" width="11.28515625" customWidth="1"/>
    <col min="5139" max="5139" width="34.5703125" customWidth="1"/>
    <col min="5140" max="5140" width="11" bestFit="1" customWidth="1"/>
    <col min="5142" max="5142" width="14.28515625" customWidth="1"/>
    <col min="5145" max="5145" width="39.42578125" customWidth="1"/>
    <col min="5147" max="5147" width="22.28515625" customWidth="1"/>
    <col min="5151" max="5151" width="21.28515625" customWidth="1"/>
    <col min="5155" max="5155" width="20.28515625" customWidth="1"/>
    <col min="5159" max="5159" width="34.42578125" customWidth="1"/>
    <col min="5160" max="5160" width="26.5703125" customWidth="1"/>
    <col min="5161" max="5161" width="16.42578125" customWidth="1"/>
    <col min="5162" max="5163" width="20.140625" customWidth="1"/>
    <col min="5164" max="5164" width="37.140625" customWidth="1"/>
    <col min="5165" max="5165" width="27" customWidth="1"/>
    <col min="5166" max="5166" width="12.140625" customWidth="1"/>
    <col min="5167" max="5167" width="12.42578125" bestFit="1" customWidth="1"/>
    <col min="5170" max="5170" width="34.85546875" customWidth="1"/>
    <col min="5175" max="5175" width="9.42578125" customWidth="1"/>
    <col min="5381" max="5381" width="12" bestFit="1" customWidth="1"/>
    <col min="5382" max="5382" width="16.7109375" bestFit="1" customWidth="1"/>
    <col min="5383" max="5383" width="11.42578125" customWidth="1"/>
    <col min="5384" max="5384" width="16.7109375" customWidth="1"/>
    <col min="5385" max="5385" width="11.42578125" customWidth="1"/>
    <col min="5386" max="5386" width="10.140625" customWidth="1"/>
    <col min="5387" max="5387" width="12.7109375" customWidth="1"/>
    <col min="5388" max="5388" width="11.5703125" customWidth="1"/>
    <col min="5389" max="5389" width="12" bestFit="1" customWidth="1"/>
    <col min="5390" max="5390" width="14" customWidth="1"/>
    <col min="5391" max="5391" width="11.5703125" customWidth="1"/>
    <col min="5392" max="5392" width="12.7109375" customWidth="1"/>
    <col min="5393" max="5393" width="12.5703125" customWidth="1"/>
    <col min="5394" max="5394" width="11.28515625" customWidth="1"/>
    <col min="5395" max="5395" width="34.5703125" customWidth="1"/>
    <col min="5396" max="5396" width="11" bestFit="1" customWidth="1"/>
    <col min="5398" max="5398" width="14.28515625" customWidth="1"/>
    <col min="5401" max="5401" width="39.42578125" customWidth="1"/>
    <col min="5403" max="5403" width="22.28515625" customWidth="1"/>
    <col min="5407" max="5407" width="21.28515625" customWidth="1"/>
    <col min="5411" max="5411" width="20.28515625" customWidth="1"/>
    <col min="5415" max="5415" width="34.42578125" customWidth="1"/>
    <col min="5416" max="5416" width="26.5703125" customWidth="1"/>
    <col min="5417" max="5417" width="16.42578125" customWidth="1"/>
    <col min="5418" max="5419" width="20.140625" customWidth="1"/>
    <col min="5420" max="5420" width="37.140625" customWidth="1"/>
    <col min="5421" max="5421" width="27" customWidth="1"/>
    <col min="5422" max="5422" width="12.140625" customWidth="1"/>
    <col min="5423" max="5423" width="12.42578125" bestFit="1" customWidth="1"/>
    <col min="5426" max="5426" width="34.85546875" customWidth="1"/>
    <col min="5431" max="5431" width="9.42578125" customWidth="1"/>
    <col min="5637" max="5637" width="12" bestFit="1" customWidth="1"/>
    <col min="5638" max="5638" width="16.7109375" bestFit="1" customWidth="1"/>
    <col min="5639" max="5639" width="11.42578125" customWidth="1"/>
    <col min="5640" max="5640" width="16.7109375" customWidth="1"/>
    <col min="5641" max="5641" width="11.42578125" customWidth="1"/>
    <col min="5642" max="5642" width="10.140625" customWidth="1"/>
    <col min="5643" max="5643" width="12.7109375" customWidth="1"/>
    <col min="5644" max="5644" width="11.5703125" customWidth="1"/>
    <col min="5645" max="5645" width="12" bestFit="1" customWidth="1"/>
    <col min="5646" max="5646" width="14" customWidth="1"/>
    <col min="5647" max="5647" width="11.5703125" customWidth="1"/>
    <col min="5648" max="5648" width="12.7109375" customWidth="1"/>
    <col min="5649" max="5649" width="12.5703125" customWidth="1"/>
    <col min="5650" max="5650" width="11.28515625" customWidth="1"/>
    <col min="5651" max="5651" width="34.5703125" customWidth="1"/>
    <col min="5652" max="5652" width="11" bestFit="1" customWidth="1"/>
    <col min="5654" max="5654" width="14.28515625" customWidth="1"/>
    <col min="5657" max="5657" width="39.42578125" customWidth="1"/>
    <col min="5659" max="5659" width="22.28515625" customWidth="1"/>
    <col min="5663" max="5663" width="21.28515625" customWidth="1"/>
    <col min="5667" max="5667" width="20.28515625" customWidth="1"/>
    <col min="5671" max="5671" width="34.42578125" customWidth="1"/>
    <col min="5672" max="5672" width="26.5703125" customWidth="1"/>
    <col min="5673" max="5673" width="16.42578125" customWidth="1"/>
    <col min="5674" max="5675" width="20.140625" customWidth="1"/>
    <col min="5676" max="5676" width="37.140625" customWidth="1"/>
    <col min="5677" max="5677" width="27" customWidth="1"/>
    <col min="5678" max="5678" width="12.140625" customWidth="1"/>
    <col min="5679" max="5679" width="12.42578125" bestFit="1" customWidth="1"/>
    <col min="5682" max="5682" width="34.85546875" customWidth="1"/>
    <col min="5687" max="5687" width="9.42578125" customWidth="1"/>
    <col min="5893" max="5893" width="12" bestFit="1" customWidth="1"/>
    <col min="5894" max="5894" width="16.7109375" bestFit="1" customWidth="1"/>
    <col min="5895" max="5895" width="11.42578125" customWidth="1"/>
    <col min="5896" max="5896" width="16.7109375" customWidth="1"/>
    <col min="5897" max="5897" width="11.42578125" customWidth="1"/>
    <col min="5898" max="5898" width="10.140625" customWidth="1"/>
    <col min="5899" max="5899" width="12.7109375" customWidth="1"/>
    <col min="5900" max="5900" width="11.5703125" customWidth="1"/>
    <col min="5901" max="5901" width="12" bestFit="1" customWidth="1"/>
    <col min="5902" max="5902" width="14" customWidth="1"/>
    <col min="5903" max="5903" width="11.5703125" customWidth="1"/>
    <col min="5904" max="5904" width="12.7109375" customWidth="1"/>
    <col min="5905" max="5905" width="12.5703125" customWidth="1"/>
    <col min="5906" max="5906" width="11.28515625" customWidth="1"/>
    <col min="5907" max="5907" width="34.5703125" customWidth="1"/>
    <col min="5908" max="5908" width="11" bestFit="1" customWidth="1"/>
    <col min="5910" max="5910" width="14.28515625" customWidth="1"/>
    <col min="5913" max="5913" width="39.42578125" customWidth="1"/>
    <col min="5915" max="5915" width="22.28515625" customWidth="1"/>
    <col min="5919" max="5919" width="21.28515625" customWidth="1"/>
    <col min="5923" max="5923" width="20.28515625" customWidth="1"/>
    <col min="5927" max="5927" width="34.42578125" customWidth="1"/>
    <col min="5928" max="5928" width="26.5703125" customWidth="1"/>
    <col min="5929" max="5929" width="16.42578125" customWidth="1"/>
    <col min="5930" max="5931" width="20.140625" customWidth="1"/>
    <col min="5932" max="5932" width="37.140625" customWidth="1"/>
    <col min="5933" max="5933" width="27" customWidth="1"/>
    <col min="5934" max="5934" width="12.140625" customWidth="1"/>
    <col min="5935" max="5935" width="12.42578125" bestFit="1" customWidth="1"/>
    <col min="5938" max="5938" width="34.85546875" customWidth="1"/>
    <col min="5943" max="5943" width="9.42578125" customWidth="1"/>
    <col min="6149" max="6149" width="12" bestFit="1" customWidth="1"/>
    <col min="6150" max="6150" width="16.7109375" bestFit="1" customWidth="1"/>
    <col min="6151" max="6151" width="11.42578125" customWidth="1"/>
    <col min="6152" max="6152" width="16.7109375" customWidth="1"/>
    <col min="6153" max="6153" width="11.42578125" customWidth="1"/>
    <col min="6154" max="6154" width="10.140625" customWidth="1"/>
    <col min="6155" max="6155" width="12.7109375" customWidth="1"/>
    <col min="6156" max="6156" width="11.5703125" customWidth="1"/>
    <col min="6157" max="6157" width="12" bestFit="1" customWidth="1"/>
    <col min="6158" max="6158" width="14" customWidth="1"/>
    <col min="6159" max="6159" width="11.5703125" customWidth="1"/>
    <col min="6160" max="6160" width="12.7109375" customWidth="1"/>
    <col min="6161" max="6161" width="12.5703125" customWidth="1"/>
    <col min="6162" max="6162" width="11.28515625" customWidth="1"/>
    <col min="6163" max="6163" width="34.5703125" customWidth="1"/>
    <col min="6164" max="6164" width="11" bestFit="1" customWidth="1"/>
    <col min="6166" max="6166" width="14.28515625" customWidth="1"/>
    <col min="6169" max="6169" width="39.42578125" customWidth="1"/>
    <col min="6171" max="6171" width="22.28515625" customWidth="1"/>
    <col min="6175" max="6175" width="21.28515625" customWidth="1"/>
    <col min="6179" max="6179" width="20.28515625" customWidth="1"/>
    <col min="6183" max="6183" width="34.42578125" customWidth="1"/>
    <col min="6184" max="6184" width="26.5703125" customWidth="1"/>
    <col min="6185" max="6185" width="16.42578125" customWidth="1"/>
    <col min="6186" max="6187" width="20.140625" customWidth="1"/>
    <col min="6188" max="6188" width="37.140625" customWidth="1"/>
    <col min="6189" max="6189" width="27" customWidth="1"/>
    <col min="6190" max="6190" width="12.140625" customWidth="1"/>
    <col min="6191" max="6191" width="12.42578125" bestFit="1" customWidth="1"/>
    <col min="6194" max="6194" width="34.85546875" customWidth="1"/>
    <col min="6199" max="6199" width="9.42578125" customWidth="1"/>
    <col min="6405" max="6405" width="12" bestFit="1" customWidth="1"/>
    <col min="6406" max="6406" width="16.7109375" bestFit="1" customWidth="1"/>
    <col min="6407" max="6407" width="11.42578125" customWidth="1"/>
    <col min="6408" max="6408" width="16.7109375" customWidth="1"/>
    <col min="6409" max="6409" width="11.42578125" customWidth="1"/>
    <col min="6410" max="6410" width="10.140625" customWidth="1"/>
    <col min="6411" max="6411" width="12.7109375" customWidth="1"/>
    <col min="6412" max="6412" width="11.5703125" customWidth="1"/>
    <col min="6413" max="6413" width="12" bestFit="1" customWidth="1"/>
    <col min="6414" max="6414" width="14" customWidth="1"/>
    <col min="6415" max="6415" width="11.5703125" customWidth="1"/>
    <col min="6416" max="6416" width="12.7109375" customWidth="1"/>
    <col min="6417" max="6417" width="12.5703125" customWidth="1"/>
    <col min="6418" max="6418" width="11.28515625" customWidth="1"/>
    <col min="6419" max="6419" width="34.5703125" customWidth="1"/>
    <col min="6420" max="6420" width="11" bestFit="1" customWidth="1"/>
    <col min="6422" max="6422" width="14.28515625" customWidth="1"/>
    <col min="6425" max="6425" width="39.42578125" customWidth="1"/>
    <col min="6427" max="6427" width="22.28515625" customWidth="1"/>
    <col min="6431" max="6431" width="21.28515625" customWidth="1"/>
    <col min="6435" max="6435" width="20.28515625" customWidth="1"/>
    <col min="6439" max="6439" width="34.42578125" customWidth="1"/>
    <col min="6440" max="6440" width="26.5703125" customWidth="1"/>
    <col min="6441" max="6441" width="16.42578125" customWidth="1"/>
    <col min="6442" max="6443" width="20.140625" customWidth="1"/>
    <col min="6444" max="6444" width="37.140625" customWidth="1"/>
    <col min="6445" max="6445" width="27" customWidth="1"/>
    <col min="6446" max="6446" width="12.140625" customWidth="1"/>
    <col min="6447" max="6447" width="12.42578125" bestFit="1" customWidth="1"/>
    <col min="6450" max="6450" width="34.85546875" customWidth="1"/>
    <col min="6455" max="6455" width="9.42578125" customWidth="1"/>
    <col min="6661" max="6661" width="12" bestFit="1" customWidth="1"/>
    <col min="6662" max="6662" width="16.7109375" bestFit="1" customWidth="1"/>
    <col min="6663" max="6663" width="11.42578125" customWidth="1"/>
    <col min="6664" max="6664" width="16.7109375" customWidth="1"/>
    <col min="6665" max="6665" width="11.42578125" customWidth="1"/>
    <col min="6666" max="6666" width="10.140625" customWidth="1"/>
    <col min="6667" max="6667" width="12.7109375" customWidth="1"/>
    <col min="6668" max="6668" width="11.5703125" customWidth="1"/>
    <col min="6669" max="6669" width="12" bestFit="1" customWidth="1"/>
    <col min="6670" max="6670" width="14" customWidth="1"/>
    <col min="6671" max="6671" width="11.5703125" customWidth="1"/>
    <col min="6672" max="6672" width="12.7109375" customWidth="1"/>
    <col min="6673" max="6673" width="12.5703125" customWidth="1"/>
    <col min="6674" max="6674" width="11.28515625" customWidth="1"/>
    <col min="6675" max="6675" width="34.5703125" customWidth="1"/>
    <col min="6676" max="6676" width="11" bestFit="1" customWidth="1"/>
    <col min="6678" max="6678" width="14.28515625" customWidth="1"/>
    <col min="6681" max="6681" width="39.42578125" customWidth="1"/>
    <col min="6683" max="6683" width="22.28515625" customWidth="1"/>
    <col min="6687" max="6687" width="21.28515625" customWidth="1"/>
    <col min="6691" max="6691" width="20.28515625" customWidth="1"/>
    <col min="6695" max="6695" width="34.42578125" customWidth="1"/>
    <col min="6696" max="6696" width="26.5703125" customWidth="1"/>
    <col min="6697" max="6697" width="16.42578125" customWidth="1"/>
    <col min="6698" max="6699" width="20.140625" customWidth="1"/>
    <col min="6700" max="6700" width="37.140625" customWidth="1"/>
    <col min="6701" max="6701" width="27" customWidth="1"/>
    <col min="6702" max="6702" width="12.140625" customWidth="1"/>
    <col min="6703" max="6703" width="12.42578125" bestFit="1" customWidth="1"/>
    <col min="6706" max="6706" width="34.85546875" customWidth="1"/>
    <col min="6711" max="6711" width="9.42578125" customWidth="1"/>
    <col min="6917" max="6917" width="12" bestFit="1" customWidth="1"/>
    <col min="6918" max="6918" width="16.7109375" bestFit="1" customWidth="1"/>
    <col min="6919" max="6919" width="11.42578125" customWidth="1"/>
    <col min="6920" max="6920" width="16.7109375" customWidth="1"/>
    <col min="6921" max="6921" width="11.42578125" customWidth="1"/>
    <col min="6922" max="6922" width="10.140625" customWidth="1"/>
    <col min="6923" max="6923" width="12.7109375" customWidth="1"/>
    <col min="6924" max="6924" width="11.5703125" customWidth="1"/>
    <col min="6925" max="6925" width="12" bestFit="1" customWidth="1"/>
    <col min="6926" max="6926" width="14" customWidth="1"/>
    <col min="6927" max="6927" width="11.5703125" customWidth="1"/>
    <col min="6928" max="6928" width="12.7109375" customWidth="1"/>
    <col min="6929" max="6929" width="12.5703125" customWidth="1"/>
    <col min="6930" max="6930" width="11.28515625" customWidth="1"/>
    <col min="6931" max="6931" width="34.5703125" customWidth="1"/>
    <col min="6932" max="6932" width="11" bestFit="1" customWidth="1"/>
    <col min="6934" max="6934" width="14.28515625" customWidth="1"/>
    <col min="6937" max="6937" width="39.42578125" customWidth="1"/>
    <col min="6939" max="6939" width="22.28515625" customWidth="1"/>
    <col min="6943" max="6943" width="21.28515625" customWidth="1"/>
    <col min="6947" max="6947" width="20.28515625" customWidth="1"/>
    <col min="6951" max="6951" width="34.42578125" customWidth="1"/>
    <col min="6952" max="6952" width="26.5703125" customWidth="1"/>
    <col min="6953" max="6953" width="16.42578125" customWidth="1"/>
    <col min="6954" max="6955" width="20.140625" customWidth="1"/>
    <col min="6956" max="6956" width="37.140625" customWidth="1"/>
    <col min="6957" max="6957" width="27" customWidth="1"/>
    <col min="6958" max="6958" width="12.140625" customWidth="1"/>
    <col min="6959" max="6959" width="12.42578125" bestFit="1" customWidth="1"/>
    <col min="6962" max="6962" width="34.85546875" customWidth="1"/>
    <col min="6967" max="6967" width="9.42578125" customWidth="1"/>
    <col min="7173" max="7173" width="12" bestFit="1" customWidth="1"/>
    <col min="7174" max="7174" width="16.7109375" bestFit="1" customWidth="1"/>
    <col min="7175" max="7175" width="11.42578125" customWidth="1"/>
    <col min="7176" max="7176" width="16.7109375" customWidth="1"/>
    <col min="7177" max="7177" width="11.42578125" customWidth="1"/>
    <col min="7178" max="7178" width="10.140625" customWidth="1"/>
    <col min="7179" max="7179" width="12.7109375" customWidth="1"/>
    <col min="7180" max="7180" width="11.5703125" customWidth="1"/>
    <col min="7181" max="7181" width="12" bestFit="1" customWidth="1"/>
    <col min="7182" max="7182" width="14" customWidth="1"/>
    <col min="7183" max="7183" width="11.5703125" customWidth="1"/>
    <col min="7184" max="7184" width="12.7109375" customWidth="1"/>
    <col min="7185" max="7185" width="12.5703125" customWidth="1"/>
    <col min="7186" max="7186" width="11.28515625" customWidth="1"/>
    <col min="7187" max="7187" width="34.5703125" customWidth="1"/>
    <col min="7188" max="7188" width="11" bestFit="1" customWidth="1"/>
    <col min="7190" max="7190" width="14.28515625" customWidth="1"/>
    <col min="7193" max="7193" width="39.42578125" customWidth="1"/>
    <col min="7195" max="7195" width="22.28515625" customWidth="1"/>
    <col min="7199" max="7199" width="21.28515625" customWidth="1"/>
    <col min="7203" max="7203" width="20.28515625" customWidth="1"/>
    <col min="7207" max="7207" width="34.42578125" customWidth="1"/>
    <col min="7208" max="7208" width="26.5703125" customWidth="1"/>
    <col min="7209" max="7209" width="16.42578125" customWidth="1"/>
    <col min="7210" max="7211" width="20.140625" customWidth="1"/>
    <col min="7212" max="7212" width="37.140625" customWidth="1"/>
    <col min="7213" max="7213" width="27" customWidth="1"/>
    <col min="7214" max="7214" width="12.140625" customWidth="1"/>
    <col min="7215" max="7215" width="12.42578125" bestFit="1" customWidth="1"/>
    <col min="7218" max="7218" width="34.85546875" customWidth="1"/>
    <col min="7223" max="7223" width="9.42578125" customWidth="1"/>
    <col min="7429" max="7429" width="12" bestFit="1" customWidth="1"/>
    <col min="7430" max="7430" width="16.7109375" bestFit="1" customWidth="1"/>
    <col min="7431" max="7431" width="11.42578125" customWidth="1"/>
    <col min="7432" max="7432" width="16.7109375" customWidth="1"/>
    <col min="7433" max="7433" width="11.42578125" customWidth="1"/>
    <col min="7434" max="7434" width="10.140625" customWidth="1"/>
    <col min="7435" max="7435" width="12.7109375" customWidth="1"/>
    <col min="7436" max="7436" width="11.5703125" customWidth="1"/>
    <col min="7437" max="7437" width="12" bestFit="1" customWidth="1"/>
    <col min="7438" max="7438" width="14" customWidth="1"/>
    <col min="7439" max="7439" width="11.5703125" customWidth="1"/>
    <col min="7440" max="7440" width="12.7109375" customWidth="1"/>
    <col min="7441" max="7441" width="12.5703125" customWidth="1"/>
    <col min="7442" max="7442" width="11.28515625" customWidth="1"/>
    <col min="7443" max="7443" width="34.5703125" customWidth="1"/>
    <col min="7444" max="7444" width="11" bestFit="1" customWidth="1"/>
    <col min="7446" max="7446" width="14.28515625" customWidth="1"/>
    <col min="7449" max="7449" width="39.42578125" customWidth="1"/>
    <col min="7451" max="7451" width="22.28515625" customWidth="1"/>
    <col min="7455" max="7455" width="21.28515625" customWidth="1"/>
    <col min="7459" max="7459" width="20.28515625" customWidth="1"/>
    <col min="7463" max="7463" width="34.42578125" customWidth="1"/>
    <col min="7464" max="7464" width="26.5703125" customWidth="1"/>
    <col min="7465" max="7465" width="16.42578125" customWidth="1"/>
    <col min="7466" max="7467" width="20.140625" customWidth="1"/>
    <col min="7468" max="7468" width="37.140625" customWidth="1"/>
    <col min="7469" max="7469" width="27" customWidth="1"/>
    <col min="7470" max="7470" width="12.140625" customWidth="1"/>
    <col min="7471" max="7471" width="12.42578125" bestFit="1" customWidth="1"/>
    <col min="7474" max="7474" width="34.85546875" customWidth="1"/>
    <col min="7479" max="7479" width="9.42578125" customWidth="1"/>
    <col min="7685" max="7685" width="12" bestFit="1" customWidth="1"/>
    <col min="7686" max="7686" width="16.7109375" bestFit="1" customWidth="1"/>
    <col min="7687" max="7687" width="11.42578125" customWidth="1"/>
    <col min="7688" max="7688" width="16.7109375" customWidth="1"/>
    <col min="7689" max="7689" width="11.42578125" customWidth="1"/>
    <col min="7690" max="7690" width="10.140625" customWidth="1"/>
    <col min="7691" max="7691" width="12.7109375" customWidth="1"/>
    <col min="7692" max="7692" width="11.5703125" customWidth="1"/>
    <col min="7693" max="7693" width="12" bestFit="1" customWidth="1"/>
    <col min="7694" max="7694" width="14" customWidth="1"/>
    <col min="7695" max="7695" width="11.5703125" customWidth="1"/>
    <col min="7696" max="7696" width="12.7109375" customWidth="1"/>
    <col min="7697" max="7697" width="12.5703125" customWidth="1"/>
    <col min="7698" max="7698" width="11.28515625" customWidth="1"/>
    <col min="7699" max="7699" width="34.5703125" customWidth="1"/>
    <col min="7700" max="7700" width="11" bestFit="1" customWidth="1"/>
    <col min="7702" max="7702" width="14.28515625" customWidth="1"/>
    <col min="7705" max="7705" width="39.42578125" customWidth="1"/>
    <col min="7707" max="7707" width="22.28515625" customWidth="1"/>
    <col min="7711" max="7711" width="21.28515625" customWidth="1"/>
    <col min="7715" max="7715" width="20.28515625" customWidth="1"/>
    <col min="7719" max="7719" width="34.42578125" customWidth="1"/>
    <col min="7720" max="7720" width="26.5703125" customWidth="1"/>
    <col min="7721" max="7721" width="16.42578125" customWidth="1"/>
    <col min="7722" max="7723" width="20.140625" customWidth="1"/>
    <col min="7724" max="7724" width="37.140625" customWidth="1"/>
    <col min="7725" max="7725" width="27" customWidth="1"/>
    <col min="7726" max="7726" width="12.140625" customWidth="1"/>
    <col min="7727" max="7727" width="12.42578125" bestFit="1" customWidth="1"/>
    <col min="7730" max="7730" width="34.85546875" customWidth="1"/>
    <col min="7735" max="7735" width="9.42578125" customWidth="1"/>
    <col min="7941" max="7941" width="12" bestFit="1" customWidth="1"/>
    <col min="7942" max="7942" width="16.7109375" bestFit="1" customWidth="1"/>
    <col min="7943" max="7943" width="11.42578125" customWidth="1"/>
    <col min="7944" max="7944" width="16.7109375" customWidth="1"/>
    <col min="7945" max="7945" width="11.42578125" customWidth="1"/>
    <col min="7946" max="7946" width="10.140625" customWidth="1"/>
    <col min="7947" max="7947" width="12.7109375" customWidth="1"/>
    <col min="7948" max="7948" width="11.5703125" customWidth="1"/>
    <col min="7949" max="7949" width="12" bestFit="1" customWidth="1"/>
    <col min="7950" max="7950" width="14" customWidth="1"/>
    <col min="7951" max="7951" width="11.5703125" customWidth="1"/>
    <col min="7952" max="7952" width="12.7109375" customWidth="1"/>
    <col min="7953" max="7953" width="12.5703125" customWidth="1"/>
    <col min="7954" max="7954" width="11.28515625" customWidth="1"/>
    <col min="7955" max="7955" width="34.5703125" customWidth="1"/>
    <col min="7956" max="7956" width="11" bestFit="1" customWidth="1"/>
    <col min="7958" max="7958" width="14.28515625" customWidth="1"/>
    <col min="7961" max="7961" width="39.42578125" customWidth="1"/>
    <col min="7963" max="7963" width="22.28515625" customWidth="1"/>
    <col min="7967" max="7967" width="21.28515625" customWidth="1"/>
    <col min="7971" max="7971" width="20.28515625" customWidth="1"/>
    <col min="7975" max="7975" width="34.42578125" customWidth="1"/>
    <col min="7976" max="7976" width="26.5703125" customWidth="1"/>
    <col min="7977" max="7977" width="16.42578125" customWidth="1"/>
    <col min="7978" max="7979" width="20.140625" customWidth="1"/>
    <col min="7980" max="7980" width="37.140625" customWidth="1"/>
    <col min="7981" max="7981" width="27" customWidth="1"/>
    <col min="7982" max="7982" width="12.140625" customWidth="1"/>
    <col min="7983" max="7983" width="12.42578125" bestFit="1" customWidth="1"/>
    <col min="7986" max="7986" width="34.85546875" customWidth="1"/>
    <col min="7991" max="7991" width="9.42578125" customWidth="1"/>
    <col min="8197" max="8197" width="12" bestFit="1" customWidth="1"/>
    <col min="8198" max="8198" width="16.7109375" bestFit="1" customWidth="1"/>
    <col min="8199" max="8199" width="11.42578125" customWidth="1"/>
    <col min="8200" max="8200" width="16.7109375" customWidth="1"/>
    <col min="8201" max="8201" width="11.42578125" customWidth="1"/>
    <col min="8202" max="8202" width="10.140625" customWidth="1"/>
    <col min="8203" max="8203" width="12.7109375" customWidth="1"/>
    <col min="8204" max="8204" width="11.5703125" customWidth="1"/>
    <col min="8205" max="8205" width="12" bestFit="1" customWidth="1"/>
    <col min="8206" max="8206" width="14" customWidth="1"/>
    <col min="8207" max="8207" width="11.5703125" customWidth="1"/>
    <col min="8208" max="8208" width="12.7109375" customWidth="1"/>
    <col min="8209" max="8209" width="12.5703125" customWidth="1"/>
    <col min="8210" max="8210" width="11.28515625" customWidth="1"/>
    <col min="8211" max="8211" width="34.5703125" customWidth="1"/>
    <col min="8212" max="8212" width="11" bestFit="1" customWidth="1"/>
    <col min="8214" max="8214" width="14.28515625" customWidth="1"/>
    <col min="8217" max="8217" width="39.42578125" customWidth="1"/>
    <col min="8219" max="8219" width="22.28515625" customWidth="1"/>
    <col min="8223" max="8223" width="21.28515625" customWidth="1"/>
    <col min="8227" max="8227" width="20.28515625" customWidth="1"/>
    <col min="8231" max="8231" width="34.42578125" customWidth="1"/>
    <col min="8232" max="8232" width="26.5703125" customWidth="1"/>
    <col min="8233" max="8233" width="16.42578125" customWidth="1"/>
    <col min="8234" max="8235" width="20.140625" customWidth="1"/>
    <col min="8236" max="8236" width="37.140625" customWidth="1"/>
    <col min="8237" max="8237" width="27" customWidth="1"/>
    <col min="8238" max="8238" width="12.140625" customWidth="1"/>
    <col min="8239" max="8239" width="12.42578125" bestFit="1" customWidth="1"/>
    <col min="8242" max="8242" width="34.85546875" customWidth="1"/>
    <col min="8247" max="8247" width="9.42578125" customWidth="1"/>
    <col min="8453" max="8453" width="12" bestFit="1" customWidth="1"/>
    <col min="8454" max="8454" width="16.7109375" bestFit="1" customWidth="1"/>
    <col min="8455" max="8455" width="11.42578125" customWidth="1"/>
    <col min="8456" max="8456" width="16.7109375" customWidth="1"/>
    <col min="8457" max="8457" width="11.42578125" customWidth="1"/>
    <col min="8458" max="8458" width="10.140625" customWidth="1"/>
    <col min="8459" max="8459" width="12.7109375" customWidth="1"/>
    <col min="8460" max="8460" width="11.5703125" customWidth="1"/>
    <col min="8461" max="8461" width="12" bestFit="1" customWidth="1"/>
    <col min="8462" max="8462" width="14" customWidth="1"/>
    <col min="8463" max="8463" width="11.5703125" customWidth="1"/>
    <col min="8464" max="8464" width="12.7109375" customWidth="1"/>
    <col min="8465" max="8465" width="12.5703125" customWidth="1"/>
    <col min="8466" max="8466" width="11.28515625" customWidth="1"/>
    <col min="8467" max="8467" width="34.5703125" customWidth="1"/>
    <col min="8468" max="8468" width="11" bestFit="1" customWidth="1"/>
    <col min="8470" max="8470" width="14.28515625" customWidth="1"/>
    <col min="8473" max="8473" width="39.42578125" customWidth="1"/>
    <col min="8475" max="8475" width="22.28515625" customWidth="1"/>
    <col min="8479" max="8479" width="21.28515625" customWidth="1"/>
    <col min="8483" max="8483" width="20.28515625" customWidth="1"/>
    <col min="8487" max="8487" width="34.42578125" customWidth="1"/>
    <col min="8488" max="8488" width="26.5703125" customWidth="1"/>
    <col min="8489" max="8489" width="16.42578125" customWidth="1"/>
    <col min="8490" max="8491" width="20.140625" customWidth="1"/>
    <col min="8492" max="8492" width="37.140625" customWidth="1"/>
    <col min="8493" max="8493" width="27" customWidth="1"/>
    <col min="8494" max="8494" width="12.140625" customWidth="1"/>
    <col min="8495" max="8495" width="12.42578125" bestFit="1" customWidth="1"/>
    <col min="8498" max="8498" width="34.85546875" customWidth="1"/>
    <col min="8503" max="8503" width="9.42578125" customWidth="1"/>
    <col min="8709" max="8709" width="12" bestFit="1" customWidth="1"/>
    <col min="8710" max="8710" width="16.7109375" bestFit="1" customWidth="1"/>
    <col min="8711" max="8711" width="11.42578125" customWidth="1"/>
    <col min="8712" max="8712" width="16.7109375" customWidth="1"/>
    <col min="8713" max="8713" width="11.42578125" customWidth="1"/>
    <col min="8714" max="8714" width="10.140625" customWidth="1"/>
    <col min="8715" max="8715" width="12.7109375" customWidth="1"/>
    <col min="8716" max="8716" width="11.5703125" customWidth="1"/>
    <col min="8717" max="8717" width="12" bestFit="1" customWidth="1"/>
    <col min="8718" max="8718" width="14" customWidth="1"/>
    <col min="8719" max="8719" width="11.5703125" customWidth="1"/>
    <col min="8720" max="8720" width="12.7109375" customWidth="1"/>
    <col min="8721" max="8721" width="12.5703125" customWidth="1"/>
    <col min="8722" max="8722" width="11.28515625" customWidth="1"/>
    <col min="8723" max="8723" width="34.5703125" customWidth="1"/>
    <col min="8724" max="8724" width="11" bestFit="1" customWidth="1"/>
    <col min="8726" max="8726" width="14.28515625" customWidth="1"/>
    <col min="8729" max="8729" width="39.42578125" customWidth="1"/>
    <col min="8731" max="8731" width="22.28515625" customWidth="1"/>
    <col min="8735" max="8735" width="21.28515625" customWidth="1"/>
    <col min="8739" max="8739" width="20.28515625" customWidth="1"/>
    <col min="8743" max="8743" width="34.42578125" customWidth="1"/>
    <col min="8744" max="8744" width="26.5703125" customWidth="1"/>
    <col min="8745" max="8745" width="16.42578125" customWidth="1"/>
    <col min="8746" max="8747" width="20.140625" customWidth="1"/>
    <col min="8748" max="8748" width="37.140625" customWidth="1"/>
    <col min="8749" max="8749" width="27" customWidth="1"/>
    <col min="8750" max="8750" width="12.140625" customWidth="1"/>
    <col min="8751" max="8751" width="12.42578125" bestFit="1" customWidth="1"/>
    <col min="8754" max="8754" width="34.85546875" customWidth="1"/>
    <col min="8759" max="8759" width="9.42578125" customWidth="1"/>
    <col min="8965" max="8965" width="12" bestFit="1" customWidth="1"/>
    <col min="8966" max="8966" width="16.7109375" bestFit="1" customWidth="1"/>
    <col min="8967" max="8967" width="11.42578125" customWidth="1"/>
    <col min="8968" max="8968" width="16.7109375" customWidth="1"/>
    <col min="8969" max="8969" width="11.42578125" customWidth="1"/>
    <col min="8970" max="8970" width="10.140625" customWidth="1"/>
    <col min="8971" max="8971" width="12.7109375" customWidth="1"/>
    <col min="8972" max="8972" width="11.5703125" customWidth="1"/>
    <col min="8973" max="8973" width="12" bestFit="1" customWidth="1"/>
    <col min="8974" max="8974" width="14" customWidth="1"/>
    <col min="8975" max="8975" width="11.5703125" customWidth="1"/>
    <col min="8976" max="8976" width="12.7109375" customWidth="1"/>
    <col min="8977" max="8977" width="12.5703125" customWidth="1"/>
    <col min="8978" max="8978" width="11.28515625" customWidth="1"/>
    <col min="8979" max="8979" width="34.5703125" customWidth="1"/>
    <col min="8980" max="8980" width="11" bestFit="1" customWidth="1"/>
    <col min="8982" max="8982" width="14.28515625" customWidth="1"/>
    <col min="8985" max="8985" width="39.42578125" customWidth="1"/>
    <col min="8987" max="8987" width="22.28515625" customWidth="1"/>
    <col min="8991" max="8991" width="21.28515625" customWidth="1"/>
    <col min="8995" max="8995" width="20.28515625" customWidth="1"/>
    <col min="8999" max="8999" width="34.42578125" customWidth="1"/>
    <col min="9000" max="9000" width="26.5703125" customWidth="1"/>
    <col min="9001" max="9001" width="16.42578125" customWidth="1"/>
    <col min="9002" max="9003" width="20.140625" customWidth="1"/>
    <col min="9004" max="9004" width="37.140625" customWidth="1"/>
    <col min="9005" max="9005" width="27" customWidth="1"/>
    <col min="9006" max="9006" width="12.140625" customWidth="1"/>
    <col min="9007" max="9007" width="12.42578125" bestFit="1" customWidth="1"/>
    <col min="9010" max="9010" width="34.85546875" customWidth="1"/>
    <col min="9015" max="9015" width="9.42578125" customWidth="1"/>
    <col min="9221" max="9221" width="12" bestFit="1" customWidth="1"/>
    <col min="9222" max="9222" width="16.7109375" bestFit="1" customWidth="1"/>
    <col min="9223" max="9223" width="11.42578125" customWidth="1"/>
    <col min="9224" max="9224" width="16.7109375" customWidth="1"/>
    <col min="9225" max="9225" width="11.42578125" customWidth="1"/>
    <col min="9226" max="9226" width="10.140625" customWidth="1"/>
    <col min="9227" max="9227" width="12.7109375" customWidth="1"/>
    <col min="9228" max="9228" width="11.5703125" customWidth="1"/>
    <col min="9229" max="9229" width="12" bestFit="1" customWidth="1"/>
    <col min="9230" max="9230" width="14" customWidth="1"/>
    <col min="9231" max="9231" width="11.5703125" customWidth="1"/>
    <col min="9232" max="9232" width="12.7109375" customWidth="1"/>
    <col min="9233" max="9233" width="12.5703125" customWidth="1"/>
    <col min="9234" max="9234" width="11.28515625" customWidth="1"/>
    <col min="9235" max="9235" width="34.5703125" customWidth="1"/>
    <col min="9236" max="9236" width="11" bestFit="1" customWidth="1"/>
    <col min="9238" max="9238" width="14.28515625" customWidth="1"/>
    <col min="9241" max="9241" width="39.42578125" customWidth="1"/>
    <col min="9243" max="9243" width="22.28515625" customWidth="1"/>
    <col min="9247" max="9247" width="21.28515625" customWidth="1"/>
    <col min="9251" max="9251" width="20.28515625" customWidth="1"/>
    <col min="9255" max="9255" width="34.42578125" customWidth="1"/>
    <col min="9256" max="9256" width="26.5703125" customWidth="1"/>
    <col min="9257" max="9257" width="16.42578125" customWidth="1"/>
    <col min="9258" max="9259" width="20.140625" customWidth="1"/>
    <col min="9260" max="9260" width="37.140625" customWidth="1"/>
    <col min="9261" max="9261" width="27" customWidth="1"/>
    <col min="9262" max="9262" width="12.140625" customWidth="1"/>
    <col min="9263" max="9263" width="12.42578125" bestFit="1" customWidth="1"/>
    <col min="9266" max="9266" width="34.85546875" customWidth="1"/>
    <col min="9271" max="9271" width="9.42578125" customWidth="1"/>
    <col min="9477" max="9477" width="12" bestFit="1" customWidth="1"/>
    <col min="9478" max="9478" width="16.7109375" bestFit="1" customWidth="1"/>
    <col min="9479" max="9479" width="11.42578125" customWidth="1"/>
    <col min="9480" max="9480" width="16.7109375" customWidth="1"/>
    <col min="9481" max="9481" width="11.42578125" customWidth="1"/>
    <col min="9482" max="9482" width="10.140625" customWidth="1"/>
    <col min="9483" max="9483" width="12.7109375" customWidth="1"/>
    <col min="9484" max="9484" width="11.5703125" customWidth="1"/>
    <col min="9485" max="9485" width="12" bestFit="1" customWidth="1"/>
    <col min="9486" max="9486" width="14" customWidth="1"/>
    <col min="9487" max="9487" width="11.5703125" customWidth="1"/>
    <col min="9488" max="9488" width="12.7109375" customWidth="1"/>
    <col min="9489" max="9489" width="12.5703125" customWidth="1"/>
    <col min="9490" max="9490" width="11.28515625" customWidth="1"/>
    <col min="9491" max="9491" width="34.5703125" customWidth="1"/>
    <col min="9492" max="9492" width="11" bestFit="1" customWidth="1"/>
    <col min="9494" max="9494" width="14.28515625" customWidth="1"/>
    <col min="9497" max="9497" width="39.42578125" customWidth="1"/>
    <col min="9499" max="9499" width="22.28515625" customWidth="1"/>
    <col min="9503" max="9503" width="21.28515625" customWidth="1"/>
    <col min="9507" max="9507" width="20.28515625" customWidth="1"/>
    <col min="9511" max="9511" width="34.42578125" customWidth="1"/>
    <col min="9512" max="9512" width="26.5703125" customWidth="1"/>
    <col min="9513" max="9513" width="16.42578125" customWidth="1"/>
    <col min="9514" max="9515" width="20.140625" customWidth="1"/>
    <col min="9516" max="9516" width="37.140625" customWidth="1"/>
    <col min="9517" max="9517" width="27" customWidth="1"/>
    <col min="9518" max="9518" width="12.140625" customWidth="1"/>
    <col min="9519" max="9519" width="12.42578125" bestFit="1" customWidth="1"/>
    <col min="9522" max="9522" width="34.85546875" customWidth="1"/>
    <col min="9527" max="9527" width="9.42578125" customWidth="1"/>
    <col min="9733" max="9733" width="12" bestFit="1" customWidth="1"/>
    <col min="9734" max="9734" width="16.7109375" bestFit="1" customWidth="1"/>
    <col min="9735" max="9735" width="11.42578125" customWidth="1"/>
    <col min="9736" max="9736" width="16.7109375" customWidth="1"/>
    <col min="9737" max="9737" width="11.42578125" customWidth="1"/>
    <col min="9738" max="9738" width="10.140625" customWidth="1"/>
    <col min="9739" max="9739" width="12.7109375" customWidth="1"/>
    <col min="9740" max="9740" width="11.5703125" customWidth="1"/>
    <col min="9741" max="9741" width="12" bestFit="1" customWidth="1"/>
    <col min="9742" max="9742" width="14" customWidth="1"/>
    <col min="9743" max="9743" width="11.5703125" customWidth="1"/>
    <col min="9744" max="9744" width="12.7109375" customWidth="1"/>
    <col min="9745" max="9745" width="12.5703125" customWidth="1"/>
    <col min="9746" max="9746" width="11.28515625" customWidth="1"/>
    <col min="9747" max="9747" width="34.5703125" customWidth="1"/>
    <col min="9748" max="9748" width="11" bestFit="1" customWidth="1"/>
    <col min="9750" max="9750" width="14.28515625" customWidth="1"/>
    <col min="9753" max="9753" width="39.42578125" customWidth="1"/>
    <col min="9755" max="9755" width="22.28515625" customWidth="1"/>
    <col min="9759" max="9759" width="21.28515625" customWidth="1"/>
    <col min="9763" max="9763" width="20.28515625" customWidth="1"/>
    <col min="9767" max="9767" width="34.42578125" customWidth="1"/>
    <col min="9768" max="9768" width="26.5703125" customWidth="1"/>
    <col min="9769" max="9769" width="16.42578125" customWidth="1"/>
    <col min="9770" max="9771" width="20.140625" customWidth="1"/>
    <col min="9772" max="9772" width="37.140625" customWidth="1"/>
    <col min="9773" max="9773" width="27" customWidth="1"/>
    <col min="9774" max="9774" width="12.140625" customWidth="1"/>
    <col min="9775" max="9775" width="12.42578125" bestFit="1" customWidth="1"/>
    <col min="9778" max="9778" width="34.85546875" customWidth="1"/>
    <col min="9783" max="9783" width="9.42578125" customWidth="1"/>
    <col min="9989" max="9989" width="12" bestFit="1" customWidth="1"/>
    <col min="9990" max="9990" width="16.7109375" bestFit="1" customWidth="1"/>
    <col min="9991" max="9991" width="11.42578125" customWidth="1"/>
    <col min="9992" max="9992" width="16.7109375" customWidth="1"/>
    <col min="9993" max="9993" width="11.42578125" customWidth="1"/>
    <col min="9994" max="9994" width="10.140625" customWidth="1"/>
    <col min="9995" max="9995" width="12.7109375" customWidth="1"/>
    <col min="9996" max="9996" width="11.5703125" customWidth="1"/>
    <col min="9997" max="9997" width="12" bestFit="1" customWidth="1"/>
    <col min="9998" max="9998" width="14" customWidth="1"/>
    <col min="9999" max="9999" width="11.5703125" customWidth="1"/>
    <col min="10000" max="10000" width="12.7109375" customWidth="1"/>
    <col min="10001" max="10001" width="12.5703125" customWidth="1"/>
    <col min="10002" max="10002" width="11.28515625" customWidth="1"/>
    <col min="10003" max="10003" width="34.5703125" customWidth="1"/>
    <col min="10004" max="10004" width="11" bestFit="1" customWidth="1"/>
    <col min="10006" max="10006" width="14.28515625" customWidth="1"/>
    <col min="10009" max="10009" width="39.42578125" customWidth="1"/>
    <col min="10011" max="10011" width="22.28515625" customWidth="1"/>
    <col min="10015" max="10015" width="21.28515625" customWidth="1"/>
    <col min="10019" max="10019" width="20.28515625" customWidth="1"/>
    <col min="10023" max="10023" width="34.42578125" customWidth="1"/>
    <col min="10024" max="10024" width="26.5703125" customWidth="1"/>
    <col min="10025" max="10025" width="16.42578125" customWidth="1"/>
    <col min="10026" max="10027" width="20.140625" customWidth="1"/>
    <col min="10028" max="10028" width="37.140625" customWidth="1"/>
    <col min="10029" max="10029" width="27" customWidth="1"/>
    <col min="10030" max="10030" width="12.140625" customWidth="1"/>
    <col min="10031" max="10031" width="12.42578125" bestFit="1" customWidth="1"/>
    <col min="10034" max="10034" width="34.85546875" customWidth="1"/>
    <col min="10039" max="10039" width="9.42578125" customWidth="1"/>
    <col min="10245" max="10245" width="12" bestFit="1" customWidth="1"/>
    <col min="10246" max="10246" width="16.7109375" bestFit="1" customWidth="1"/>
    <col min="10247" max="10247" width="11.42578125" customWidth="1"/>
    <col min="10248" max="10248" width="16.7109375" customWidth="1"/>
    <col min="10249" max="10249" width="11.42578125" customWidth="1"/>
    <col min="10250" max="10250" width="10.140625" customWidth="1"/>
    <col min="10251" max="10251" width="12.7109375" customWidth="1"/>
    <col min="10252" max="10252" width="11.5703125" customWidth="1"/>
    <col min="10253" max="10253" width="12" bestFit="1" customWidth="1"/>
    <col min="10254" max="10254" width="14" customWidth="1"/>
    <col min="10255" max="10255" width="11.5703125" customWidth="1"/>
    <col min="10256" max="10256" width="12.7109375" customWidth="1"/>
    <col min="10257" max="10257" width="12.5703125" customWidth="1"/>
    <col min="10258" max="10258" width="11.28515625" customWidth="1"/>
    <col min="10259" max="10259" width="34.5703125" customWidth="1"/>
    <col min="10260" max="10260" width="11" bestFit="1" customWidth="1"/>
    <col min="10262" max="10262" width="14.28515625" customWidth="1"/>
    <col min="10265" max="10265" width="39.42578125" customWidth="1"/>
    <col min="10267" max="10267" width="22.28515625" customWidth="1"/>
    <col min="10271" max="10271" width="21.28515625" customWidth="1"/>
    <col min="10275" max="10275" width="20.28515625" customWidth="1"/>
    <col min="10279" max="10279" width="34.42578125" customWidth="1"/>
    <col min="10280" max="10280" width="26.5703125" customWidth="1"/>
    <col min="10281" max="10281" width="16.42578125" customWidth="1"/>
    <col min="10282" max="10283" width="20.140625" customWidth="1"/>
    <col min="10284" max="10284" width="37.140625" customWidth="1"/>
    <col min="10285" max="10285" width="27" customWidth="1"/>
    <col min="10286" max="10286" width="12.140625" customWidth="1"/>
    <col min="10287" max="10287" width="12.42578125" bestFit="1" customWidth="1"/>
    <col min="10290" max="10290" width="34.85546875" customWidth="1"/>
    <col min="10295" max="10295" width="9.42578125" customWidth="1"/>
    <col min="10501" max="10501" width="12" bestFit="1" customWidth="1"/>
    <col min="10502" max="10502" width="16.7109375" bestFit="1" customWidth="1"/>
    <col min="10503" max="10503" width="11.42578125" customWidth="1"/>
    <col min="10504" max="10504" width="16.7109375" customWidth="1"/>
    <col min="10505" max="10505" width="11.42578125" customWidth="1"/>
    <col min="10506" max="10506" width="10.140625" customWidth="1"/>
    <col min="10507" max="10507" width="12.7109375" customWidth="1"/>
    <col min="10508" max="10508" width="11.5703125" customWidth="1"/>
    <col min="10509" max="10509" width="12" bestFit="1" customWidth="1"/>
    <col min="10510" max="10510" width="14" customWidth="1"/>
    <col min="10511" max="10511" width="11.5703125" customWidth="1"/>
    <col min="10512" max="10512" width="12.7109375" customWidth="1"/>
    <col min="10513" max="10513" width="12.5703125" customWidth="1"/>
    <col min="10514" max="10514" width="11.28515625" customWidth="1"/>
    <col min="10515" max="10515" width="34.5703125" customWidth="1"/>
    <col min="10516" max="10516" width="11" bestFit="1" customWidth="1"/>
    <col min="10518" max="10518" width="14.28515625" customWidth="1"/>
    <col min="10521" max="10521" width="39.42578125" customWidth="1"/>
    <col min="10523" max="10523" width="22.28515625" customWidth="1"/>
    <col min="10527" max="10527" width="21.28515625" customWidth="1"/>
    <col min="10531" max="10531" width="20.28515625" customWidth="1"/>
    <col min="10535" max="10535" width="34.42578125" customWidth="1"/>
    <col min="10536" max="10536" width="26.5703125" customWidth="1"/>
    <col min="10537" max="10537" width="16.42578125" customWidth="1"/>
    <col min="10538" max="10539" width="20.140625" customWidth="1"/>
    <col min="10540" max="10540" width="37.140625" customWidth="1"/>
    <col min="10541" max="10541" width="27" customWidth="1"/>
    <col min="10542" max="10542" width="12.140625" customWidth="1"/>
    <col min="10543" max="10543" width="12.42578125" bestFit="1" customWidth="1"/>
    <col min="10546" max="10546" width="34.85546875" customWidth="1"/>
    <col min="10551" max="10551" width="9.42578125" customWidth="1"/>
    <col min="10757" max="10757" width="12" bestFit="1" customWidth="1"/>
    <col min="10758" max="10758" width="16.7109375" bestFit="1" customWidth="1"/>
    <col min="10759" max="10759" width="11.42578125" customWidth="1"/>
    <col min="10760" max="10760" width="16.7109375" customWidth="1"/>
    <col min="10761" max="10761" width="11.42578125" customWidth="1"/>
    <col min="10762" max="10762" width="10.140625" customWidth="1"/>
    <col min="10763" max="10763" width="12.7109375" customWidth="1"/>
    <col min="10764" max="10764" width="11.5703125" customWidth="1"/>
    <col min="10765" max="10765" width="12" bestFit="1" customWidth="1"/>
    <col min="10766" max="10766" width="14" customWidth="1"/>
    <col min="10767" max="10767" width="11.5703125" customWidth="1"/>
    <col min="10768" max="10768" width="12.7109375" customWidth="1"/>
    <col min="10769" max="10769" width="12.5703125" customWidth="1"/>
    <col min="10770" max="10770" width="11.28515625" customWidth="1"/>
    <col min="10771" max="10771" width="34.5703125" customWidth="1"/>
    <col min="10772" max="10772" width="11" bestFit="1" customWidth="1"/>
    <col min="10774" max="10774" width="14.28515625" customWidth="1"/>
    <col min="10777" max="10777" width="39.42578125" customWidth="1"/>
    <col min="10779" max="10779" width="22.28515625" customWidth="1"/>
    <col min="10783" max="10783" width="21.28515625" customWidth="1"/>
    <col min="10787" max="10787" width="20.28515625" customWidth="1"/>
    <col min="10791" max="10791" width="34.42578125" customWidth="1"/>
    <col min="10792" max="10792" width="26.5703125" customWidth="1"/>
    <col min="10793" max="10793" width="16.42578125" customWidth="1"/>
    <col min="10794" max="10795" width="20.140625" customWidth="1"/>
    <col min="10796" max="10796" width="37.140625" customWidth="1"/>
    <col min="10797" max="10797" width="27" customWidth="1"/>
    <col min="10798" max="10798" width="12.140625" customWidth="1"/>
    <col min="10799" max="10799" width="12.42578125" bestFit="1" customWidth="1"/>
    <col min="10802" max="10802" width="34.85546875" customWidth="1"/>
    <col min="10807" max="10807" width="9.42578125" customWidth="1"/>
    <col min="11013" max="11013" width="12" bestFit="1" customWidth="1"/>
    <col min="11014" max="11014" width="16.7109375" bestFit="1" customWidth="1"/>
    <col min="11015" max="11015" width="11.42578125" customWidth="1"/>
    <col min="11016" max="11016" width="16.7109375" customWidth="1"/>
    <col min="11017" max="11017" width="11.42578125" customWidth="1"/>
    <col min="11018" max="11018" width="10.140625" customWidth="1"/>
    <col min="11019" max="11019" width="12.7109375" customWidth="1"/>
    <col min="11020" max="11020" width="11.5703125" customWidth="1"/>
    <col min="11021" max="11021" width="12" bestFit="1" customWidth="1"/>
    <col min="11022" max="11022" width="14" customWidth="1"/>
    <col min="11023" max="11023" width="11.5703125" customWidth="1"/>
    <col min="11024" max="11024" width="12.7109375" customWidth="1"/>
    <col min="11025" max="11025" width="12.5703125" customWidth="1"/>
    <col min="11026" max="11026" width="11.28515625" customWidth="1"/>
    <col min="11027" max="11027" width="34.5703125" customWidth="1"/>
    <col min="11028" max="11028" width="11" bestFit="1" customWidth="1"/>
    <col min="11030" max="11030" width="14.28515625" customWidth="1"/>
    <col min="11033" max="11033" width="39.42578125" customWidth="1"/>
    <col min="11035" max="11035" width="22.28515625" customWidth="1"/>
    <col min="11039" max="11039" width="21.28515625" customWidth="1"/>
    <col min="11043" max="11043" width="20.28515625" customWidth="1"/>
    <col min="11047" max="11047" width="34.42578125" customWidth="1"/>
    <col min="11048" max="11048" width="26.5703125" customWidth="1"/>
    <col min="11049" max="11049" width="16.42578125" customWidth="1"/>
    <col min="11050" max="11051" width="20.140625" customWidth="1"/>
    <col min="11052" max="11052" width="37.140625" customWidth="1"/>
    <col min="11053" max="11053" width="27" customWidth="1"/>
    <col min="11054" max="11054" width="12.140625" customWidth="1"/>
    <col min="11055" max="11055" width="12.42578125" bestFit="1" customWidth="1"/>
    <col min="11058" max="11058" width="34.85546875" customWidth="1"/>
    <col min="11063" max="11063" width="9.42578125" customWidth="1"/>
    <col min="11269" max="11269" width="12" bestFit="1" customWidth="1"/>
    <col min="11270" max="11270" width="16.7109375" bestFit="1" customWidth="1"/>
    <col min="11271" max="11271" width="11.42578125" customWidth="1"/>
    <col min="11272" max="11272" width="16.7109375" customWidth="1"/>
    <col min="11273" max="11273" width="11.42578125" customWidth="1"/>
    <col min="11274" max="11274" width="10.140625" customWidth="1"/>
    <col min="11275" max="11275" width="12.7109375" customWidth="1"/>
    <col min="11276" max="11276" width="11.5703125" customWidth="1"/>
    <col min="11277" max="11277" width="12" bestFit="1" customWidth="1"/>
    <col min="11278" max="11278" width="14" customWidth="1"/>
    <col min="11279" max="11279" width="11.5703125" customWidth="1"/>
    <col min="11280" max="11280" width="12.7109375" customWidth="1"/>
    <col min="11281" max="11281" width="12.5703125" customWidth="1"/>
    <col min="11282" max="11282" width="11.28515625" customWidth="1"/>
    <col min="11283" max="11283" width="34.5703125" customWidth="1"/>
    <col min="11284" max="11284" width="11" bestFit="1" customWidth="1"/>
    <col min="11286" max="11286" width="14.28515625" customWidth="1"/>
    <col min="11289" max="11289" width="39.42578125" customWidth="1"/>
    <col min="11291" max="11291" width="22.28515625" customWidth="1"/>
    <col min="11295" max="11295" width="21.28515625" customWidth="1"/>
    <col min="11299" max="11299" width="20.28515625" customWidth="1"/>
    <col min="11303" max="11303" width="34.42578125" customWidth="1"/>
    <col min="11304" max="11304" width="26.5703125" customWidth="1"/>
    <col min="11305" max="11305" width="16.42578125" customWidth="1"/>
    <col min="11306" max="11307" width="20.140625" customWidth="1"/>
    <col min="11308" max="11308" width="37.140625" customWidth="1"/>
    <col min="11309" max="11309" width="27" customWidth="1"/>
    <col min="11310" max="11310" width="12.140625" customWidth="1"/>
    <col min="11311" max="11311" width="12.42578125" bestFit="1" customWidth="1"/>
    <col min="11314" max="11314" width="34.85546875" customWidth="1"/>
    <col min="11319" max="11319" width="9.42578125" customWidth="1"/>
    <col min="11525" max="11525" width="12" bestFit="1" customWidth="1"/>
    <col min="11526" max="11526" width="16.7109375" bestFit="1" customWidth="1"/>
    <col min="11527" max="11527" width="11.42578125" customWidth="1"/>
    <col min="11528" max="11528" width="16.7109375" customWidth="1"/>
    <col min="11529" max="11529" width="11.42578125" customWidth="1"/>
    <col min="11530" max="11530" width="10.140625" customWidth="1"/>
    <col min="11531" max="11531" width="12.7109375" customWidth="1"/>
    <col min="11532" max="11532" width="11.5703125" customWidth="1"/>
    <col min="11533" max="11533" width="12" bestFit="1" customWidth="1"/>
    <col min="11534" max="11534" width="14" customWidth="1"/>
    <col min="11535" max="11535" width="11.5703125" customWidth="1"/>
    <col min="11536" max="11536" width="12.7109375" customWidth="1"/>
    <col min="11537" max="11537" width="12.5703125" customWidth="1"/>
    <col min="11538" max="11538" width="11.28515625" customWidth="1"/>
    <col min="11539" max="11539" width="34.5703125" customWidth="1"/>
    <col min="11540" max="11540" width="11" bestFit="1" customWidth="1"/>
    <col min="11542" max="11542" width="14.28515625" customWidth="1"/>
    <col min="11545" max="11545" width="39.42578125" customWidth="1"/>
    <col min="11547" max="11547" width="22.28515625" customWidth="1"/>
    <col min="11551" max="11551" width="21.28515625" customWidth="1"/>
    <col min="11555" max="11555" width="20.28515625" customWidth="1"/>
    <col min="11559" max="11559" width="34.42578125" customWidth="1"/>
    <col min="11560" max="11560" width="26.5703125" customWidth="1"/>
    <col min="11561" max="11561" width="16.42578125" customWidth="1"/>
    <col min="11562" max="11563" width="20.140625" customWidth="1"/>
    <col min="11564" max="11564" width="37.140625" customWidth="1"/>
    <col min="11565" max="11565" width="27" customWidth="1"/>
    <col min="11566" max="11566" width="12.140625" customWidth="1"/>
    <col min="11567" max="11567" width="12.42578125" bestFit="1" customWidth="1"/>
    <col min="11570" max="11570" width="34.85546875" customWidth="1"/>
    <col min="11575" max="11575" width="9.42578125" customWidth="1"/>
    <col min="11781" max="11781" width="12" bestFit="1" customWidth="1"/>
    <col min="11782" max="11782" width="16.7109375" bestFit="1" customWidth="1"/>
    <col min="11783" max="11783" width="11.42578125" customWidth="1"/>
    <col min="11784" max="11784" width="16.7109375" customWidth="1"/>
    <col min="11785" max="11785" width="11.42578125" customWidth="1"/>
    <col min="11786" max="11786" width="10.140625" customWidth="1"/>
    <col min="11787" max="11787" width="12.7109375" customWidth="1"/>
    <col min="11788" max="11788" width="11.5703125" customWidth="1"/>
    <col min="11789" max="11789" width="12" bestFit="1" customWidth="1"/>
    <col min="11790" max="11790" width="14" customWidth="1"/>
    <col min="11791" max="11791" width="11.5703125" customWidth="1"/>
    <col min="11792" max="11792" width="12.7109375" customWidth="1"/>
    <col min="11793" max="11793" width="12.5703125" customWidth="1"/>
    <col min="11794" max="11794" width="11.28515625" customWidth="1"/>
    <col min="11795" max="11795" width="34.5703125" customWidth="1"/>
    <col min="11796" max="11796" width="11" bestFit="1" customWidth="1"/>
    <col min="11798" max="11798" width="14.28515625" customWidth="1"/>
    <col min="11801" max="11801" width="39.42578125" customWidth="1"/>
    <col min="11803" max="11803" width="22.28515625" customWidth="1"/>
    <col min="11807" max="11807" width="21.28515625" customWidth="1"/>
    <col min="11811" max="11811" width="20.28515625" customWidth="1"/>
    <col min="11815" max="11815" width="34.42578125" customWidth="1"/>
    <col min="11816" max="11816" width="26.5703125" customWidth="1"/>
    <col min="11817" max="11817" width="16.42578125" customWidth="1"/>
    <col min="11818" max="11819" width="20.140625" customWidth="1"/>
    <col min="11820" max="11820" width="37.140625" customWidth="1"/>
    <col min="11821" max="11821" width="27" customWidth="1"/>
    <col min="11822" max="11822" width="12.140625" customWidth="1"/>
    <col min="11823" max="11823" width="12.42578125" bestFit="1" customWidth="1"/>
    <col min="11826" max="11826" width="34.85546875" customWidth="1"/>
    <col min="11831" max="11831" width="9.42578125" customWidth="1"/>
    <col min="12037" max="12037" width="12" bestFit="1" customWidth="1"/>
    <col min="12038" max="12038" width="16.7109375" bestFit="1" customWidth="1"/>
    <col min="12039" max="12039" width="11.42578125" customWidth="1"/>
    <col min="12040" max="12040" width="16.7109375" customWidth="1"/>
    <col min="12041" max="12041" width="11.42578125" customWidth="1"/>
    <col min="12042" max="12042" width="10.140625" customWidth="1"/>
    <col min="12043" max="12043" width="12.7109375" customWidth="1"/>
    <col min="12044" max="12044" width="11.5703125" customWidth="1"/>
    <col min="12045" max="12045" width="12" bestFit="1" customWidth="1"/>
    <col min="12046" max="12046" width="14" customWidth="1"/>
    <col min="12047" max="12047" width="11.5703125" customWidth="1"/>
    <col min="12048" max="12048" width="12.7109375" customWidth="1"/>
    <col min="12049" max="12049" width="12.5703125" customWidth="1"/>
    <col min="12050" max="12050" width="11.28515625" customWidth="1"/>
    <col min="12051" max="12051" width="34.5703125" customWidth="1"/>
    <col min="12052" max="12052" width="11" bestFit="1" customWidth="1"/>
    <col min="12054" max="12054" width="14.28515625" customWidth="1"/>
    <col min="12057" max="12057" width="39.42578125" customWidth="1"/>
    <col min="12059" max="12059" width="22.28515625" customWidth="1"/>
    <col min="12063" max="12063" width="21.28515625" customWidth="1"/>
    <col min="12067" max="12067" width="20.28515625" customWidth="1"/>
    <col min="12071" max="12071" width="34.42578125" customWidth="1"/>
    <col min="12072" max="12072" width="26.5703125" customWidth="1"/>
    <col min="12073" max="12073" width="16.42578125" customWidth="1"/>
    <col min="12074" max="12075" width="20.140625" customWidth="1"/>
    <col min="12076" max="12076" width="37.140625" customWidth="1"/>
    <col min="12077" max="12077" width="27" customWidth="1"/>
    <col min="12078" max="12078" width="12.140625" customWidth="1"/>
    <col min="12079" max="12079" width="12.42578125" bestFit="1" customWidth="1"/>
    <col min="12082" max="12082" width="34.85546875" customWidth="1"/>
    <col min="12087" max="12087" width="9.42578125" customWidth="1"/>
    <col min="12293" max="12293" width="12" bestFit="1" customWidth="1"/>
    <col min="12294" max="12294" width="16.7109375" bestFit="1" customWidth="1"/>
    <col min="12295" max="12295" width="11.42578125" customWidth="1"/>
    <col min="12296" max="12296" width="16.7109375" customWidth="1"/>
    <col min="12297" max="12297" width="11.42578125" customWidth="1"/>
    <col min="12298" max="12298" width="10.140625" customWidth="1"/>
    <col min="12299" max="12299" width="12.7109375" customWidth="1"/>
    <col min="12300" max="12300" width="11.5703125" customWidth="1"/>
    <col min="12301" max="12301" width="12" bestFit="1" customWidth="1"/>
    <col min="12302" max="12302" width="14" customWidth="1"/>
    <col min="12303" max="12303" width="11.5703125" customWidth="1"/>
    <col min="12304" max="12304" width="12.7109375" customWidth="1"/>
    <col min="12305" max="12305" width="12.5703125" customWidth="1"/>
    <col min="12306" max="12306" width="11.28515625" customWidth="1"/>
    <col min="12307" max="12307" width="34.5703125" customWidth="1"/>
    <col min="12308" max="12308" width="11" bestFit="1" customWidth="1"/>
    <col min="12310" max="12310" width="14.28515625" customWidth="1"/>
    <col min="12313" max="12313" width="39.42578125" customWidth="1"/>
    <col min="12315" max="12315" width="22.28515625" customWidth="1"/>
    <col min="12319" max="12319" width="21.28515625" customWidth="1"/>
    <col min="12323" max="12323" width="20.28515625" customWidth="1"/>
    <col min="12327" max="12327" width="34.42578125" customWidth="1"/>
    <col min="12328" max="12328" width="26.5703125" customWidth="1"/>
    <col min="12329" max="12329" width="16.42578125" customWidth="1"/>
    <col min="12330" max="12331" width="20.140625" customWidth="1"/>
    <col min="12332" max="12332" width="37.140625" customWidth="1"/>
    <col min="12333" max="12333" width="27" customWidth="1"/>
    <col min="12334" max="12334" width="12.140625" customWidth="1"/>
    <col min="12335" max="12335" width="12.42578125" bestFit="1" customWidth="1"/>
    <col min="12338" max="12338" width="34.85546875" customWidth="1"/>
    <col min="12343" max="12343" width="9.42578125" customWidth="1"/>
    <col min="12549" max="12549" width="12" bestFit="1" customWidth="1"/>
    <col min="12550" max="12550" width="16.7109375" bestFit="1" customWidth="1"/>
    <col min="12551" max="12551" width="11.42578125" customWidth="1"/>
    <col min="12552" max="12552" width="16.7109375" customWidth="1"/>
    <col min="12553" max="12553" width="11.42578125" customWidth="1"/>
    <col min="12554" max="12554" width="10.140625" customWidth="1"/>
    <col min="12555" max="12555" width="12.7109375" customWidth="1"/>
    <col min="12556" max="12556" width="11.5703125" customWidth="1"/>
    <col min="12557" max="12557" width="12" bestFit="1" customWidth="1"/>
    <col min="12558" max="12558" width="14" customWidth="1"/>
    <col min="12559" max="12559" width="11.5703125" customWidth="1"/>
    <col min="12560" max="12560" width="12.7109375" customWidth="1"/>
    <col min="12561" max="12561" width="12.5703125" customWidth="1"/>
    <col min="12562" max="12562" width="11.28515625" customWidth="1"/>
    <col min="12563" max="12563" width="34.5703125" customWidth="1"/>
    <col min="12564" max="12564" width="11" bestFit="1" customWidth="1"/>
    <col min="12566" max="12566" width="14.28515625" customWidth="1"/>
    <col min="12569" max="12569" width="39.42578125" customWidth="1"/>
    <col min="12571" max="12571" width="22.28515625" customWidth="1"/>
    <col min="12575" max="12575" width="21.28515625" customWidth="1"/>
    <col min="12579" max="12579" width="20.28515625" customWidth="1"/>
    <col min="12583" max="12583" width="34.42578125" customWidth="1"/>
    <col min="12584" max="12584" width="26.5703125" customWidth="1"/>
    <col min="12585" max="12585" width="16.42578125" customWidth="1"/>
    <col min="12586" max="12587" width="20.140625" customWidth="1"/>
    <col min="12588" max="12588" width="37.140625" customWidth="1"/>
    <col min="12589" max="12589" width="27" customWidth="1"/>
    <col min="12590" max="12590" width="12.140625" customWidth="1"/>
    <col min="12591" max="12591" width="12.42578125" bestFit="1" customWidth="1"/>
    <col min="12594" max="12594" width="34.85546875" customWidth="1"/>
    <col min="12599" max="12599" width="9.42578125" customWidth="1"/>
    <col min="12805" max="12805" width="12" bestFit="1" customWidth="1"/>
    <col min="12806" max="12806" width="16.7109375" bestFit="1" customWidth="1"/>
    <col min="12807" max="12807" width="11.42578125" customWidth="1"/>
    <col min="12808" max="12808" width="16.7109375" customWidth="1"/>
    <col min="12809" max="12809" width="11.42578125" customWidth="1"/>
    <col min="12810" max="12810" width="10.140625" customWidth="1"/>
    <col min="12811" max="12811" width="12.7109375" customWidth="1"/>
    <col min="12812" max="12812" width="11.5703125" customWidth="1"/>
    <col min="12813" max="12813" width="12" bestFit="1" customWidth="1"/>
    <col min="12814" max="12814" width="14" customWidth="1"/>
    <col min="12815" max="12815" width="11.5703125" customWidth="1"/>
    <col min="12816" max="12816" width="12.7109375" customWidth="1"/>
    <col min="12817" max="12817" width="12.5703125" customWidth="1"/>
    <col min="12818" max="12818" width="11.28515625" customWidth="1"/>
    <col min="12819" max="12819" width="34.5703125" customWidth="1"/>
    <col min="12820" max="12820" width="11" bestFit="1" customWidth="1"/>
    <col min="12822" max="12822" width="14.28515625" customWidth="1"/>
    <col min="12825" max="12825" width="39.42578125" customWidth="1"/>
    <col min="12827" max="12827" width="22.28515625" customWidth="1"/>
    <col min="12831" max="12831" width="21.28515625" customWidth="1"/>
    <col min="12835" max="12835" width="20.28515625" customWidth="1"/>
    <col min="12839" max="12839" width="34.42578125" customWidth="1"/>
    <col min="12840" max="12840" width="26.5703125" customWidth="1"/>
    <col min="12841" max="12841" width="16.42578125" customWidth="1"/>
    <col min="12842" max="12843" width="20.140625" customWidth="1"/>
    <col min="12844" max="12844" width="37.140625" customWidth="1"/>
    <col min="12845" max="12845" width="27" customWidth="1"/>
    <col min="12846" max="12846" width="12.140625" customWidth="1"/>
    <col min="12847" max="12847" width="12.42578125" bestFit="1" customWidth="1"/>
    <col min="12850" max="12850" width="34.85546875" customWidth="1"/>
    <col min="12855" max="12855" width="9.42578125" customWidth="1"/>
    <col min="13061" max="13061" width="12" bestFit="1" customWidth="1"/>
    <col min="13062" max="13062" width="16.7109375" bestFit="1" customWidth="1"/>
    <col min="13063" max="13063" width="11.42578125" customWidth="1"/>
    <col min="13064" max="13064" width="16.7109375" customWidth="1"/>
    <col min="13065" max="13065" width="11.42578125" customWidth="1"/>
    <col min="13066" max="13066" width="10.140625" customWidth="1"/>
    <col min="13067" max="13067" width="12.7109375" customWidth="1"/>
    <col min="13068" max="13068" width="11.5703125" customWidth="1"/>
    <col min="13069" max="13069" width="12" bestFit="1" customWidth="1"/>
    <col min="13070" max="13070" width="14" customWidth="1"/>
    <col min="13071" max="13071" width="11.5703125" customWidth="1"/>
    <col min="13072" max="13072" width="12.7109375" customWidth="1"/>
    <col min="13073" max="13073" width="12.5703125" customWidth="1"/>
    <col min="13074" max="13074" width="11.28515625" customWidth="1"/>
    <col min="13075" max="13075" width="34.5703125" customWidth="1"/>
    <col min="13076" max="13076" width="11" bestFit="1" customWidth="1"/>
    <col min="13078" max="13078" width="14.28515625" customWidth="1"/>
    <col min="13081" max="13081" width="39.42578125" customWidth="1"/>
    <col min="13083" max="13083" width="22.28515625" customWidth="1"/>
    <col min="13087" max="13087" width="21.28515625" customWidth="1"/>
    <col min="13091" max="13091" width="20.28515625" customWidth="1"/>
    <col min="13095" max="13095" width="34.42578125" customWidth="1"/>
    <col min="13096" max="13096" width="26.5703125" customWidth="1"/>
    <col min="13097" max="13097" width="16.42578125" customWidth="1"/>
    <col min="13098" max="13099" width="20.140625" customWidth="1"/>
    <col min="13100" max="13100" width="37.140625" customWidth="1"/>
    <col min="13101" max="13101" width="27" customWidth="1"/>
    <col min="13102" max="13102" width="12.140625" customWidth="1"/>
    <col min="13103" max="13103" width="12.42578125" bestFit="1" customWidth="1"/>
    <col min="13106" max="13106" width="34.85546875" customWidth="1"/>
    <col min="13111" max="13111" width="9.42578125" customWidth="1"/>
    <col min="13317" max="13317" width="12" bestFit="1" customWidth="1"/>
    <col min="13318" max="13318" width="16.7109375" bestFit="1" customWidth="1"/>
    <col min="13319" max="13319" width="11.42578125" customWidth="1"/>
    <col min="13320" max="13320" width="16.7109375" customWidth="1"/>
    <col min="13321" max="13321" width="11.42578125" customWidth="1"/>
    <col min="13322" max="13322" width="10.140625" customWidth="1"/>
    <col min="13323" max="13323" width="12.7109375" customWidth="1"/>
    <col min="13324" max="13324" width="11.5703125" customWidth="1"/>
    <col min="13325" max="13325" width="12" bestFit="1" customWidth="1"/>
    <col min="13326" max="13326" width="14" customWidth="1"/>
    <col min="13327" max="13327" width="11.5703125" customWidth="1"/>
    <col min="13328" max="13328" width="12.7109375" customWidth="1"/>
    <col min="13329" max="13329" width="12.5703125" customWidth="1"/>
    <col min="13330" max="13330" width="11.28515625" customWidth="1"/>
    <col min="13331" max="13331" width="34.5703125" customWidth="1"/>
    <col min="13332" max="13332" width="11" bestFit="1" customWidth="1"/>
    <col min="13334" max="13334" width="14.28515625" customWidth="1"/>
    <col min="13337" max="13337" width="39.42578125" customWidth="1"/>
    <col min="13339" max="13339" width="22.28515625" customWidth="1"/>
    <col min="13343" max="13343" width="21.28515625" customWidth="1"/>
    <col min="13347" max="13347" width="20.28515625" customWidth="1"/>
    <col min="13351" max="13351" width="34.42578125" customWidth="1"/>
    <col min="13352" max="13352" width="26.5703125" customWidth="1"/>
    <col min="13353" max="13353" width="16.42578125" customWidth="1"/>
    <col min="13354" max="13355" width="20.140625" customWidth="1"/>
    <col min="13356" max="13356" width="37.140625" customWidth="1"/>
    <col min="13357" max="13357" width="27" customWidth="1"/>
    <col min="13358" max="13358" width="12.140625" customWidth="1"/>
    <col min="13359" max="13359" width="12.42578125" bestFit="1" customWidth="1"/>
    <col min="13362" max="13362" width="34.85546875" customWidth="1"/>
    <col min="13367" max="13367" width="9.42578125" customWidth="1"/>
    <col min="13573" max="13573" width="12" bestFit="1" customWidth="1"/>
    <col min="13574" max="13574" width="16.7109375" bestFit="1" customWidth="1"/>
    <col min="13575" max="13575" width="11.42578125" customWidth="1"/>
    <col min="13576" max="13576" width="16.7109375" customWidth="1"/>
    <col min="13577" max="13577" width="11.42578125" customWidth="1"/>
    <col min="13578" max="13578" width="10.140625" customWidth="1"/>
    <col min="13579" max="13579" width="12.7109375" customWidth="1"/>
    <col min="13580" max="13580" width="11.5703125" customWidth="1"/>
    <col min="13581" max="13581" width="12" bestFit="1" customWidth="1"/>
    <col min="13582" max="13582" width="14" customWidth="1"/>
    <col min="13583" max="13583" width="11.5703125" customWidth="1"/>
    <col min="13584" max="13584" width="12.7109375" customWidth="1"/>
    <col min="13585" max="13585" width="12.5703125" customWidth="1"/>
    <col min="13586" max="13586" width="11.28515625" customWidth="1"/>
    <col min="13587" max="13587" width="34.5703125" customWidth="1"/>
    <col min="13588" max="13588" width="11" bestFit="1" customWidth="1"/>
    <col min="13590" max="13590" width="14.28515625" customWidth="1"/>
    <col min="13593" max="13593" width="39.42578125" customWidth="1"/>
    <col min="13595" max="13595" width="22.28515625" customWidth="1"/>
    <col min="13599" max="13599" width="21.28515625" customWidth="1"/>
    <col min="13603" max="13603" width="20.28515625" customWidth="1"/>
    <col min="13607" max="13607" width="34.42578125" customWidth="1"/>
    <col min="13608" max="13608" width="26.5703125" customWidth="1"/>
    <col min="13609" max="13609" width="16.42578125" customWidth="1"/>
    <col min="13610" max="13611" width="20.140625" customWidth="1"/>
    <col min="13612" max="13612" width="37.140625" customWidth="1"/>
    <col min="13613" max="13613" width="27" customWidth="1"/>
    <col min="13614" max="13614" width="12.140625" customWidth="1"/>
    <col min="13615" max="13615" width="12.42578125" bestFit="1" customWidth="1"/>
    <col min="13618" max="13618" width="34.85546875" customWidth="1"/>
    <col min="13623" max="13623" width="9.42578125" customWidth="1"/>
    <col min="13829" max="13829" width="12" bestFit="1" customWidth="1"/>
    <col min="13830" max="13830" width="16.7109375" bestFit="1" customWidth="1"/>
    <col min="13831" max="13831" width="11.42578125" customWidth="1"/>
    <col min="13832" max="13832" width="16.7109375" customWidth="1"/>
    <col min="13833" max="13833" width="11.42578125" customWidth="1"/>
    <col min="13834" max="13834" width="10.140625" customWidth="1"/>
    <col min="13835" max="13835" width="12.7109375" customWidth="1"/>
    <col min="13836" max="13836" width="11.5703125" customWidth="1"/>
    <col min="13837" max="13837" width="12" bestFit="1" customWidth="1"/>
    <col min="13838" max="13838" width="14" customWidth="1"/>
    <col min="13839" max="13839" width="11.5703125" customWidth="1"/>
    <col min="13840" max="13840" width="12.7109375" customWidth="1"/>
    <col min="13841" max="13841" width="12.5703125" customWidth="1"/>
    <col min="13842" max="13842" width="11.28515625" customWidth="1"/>
    <col min="13843" max="13843" width="34.5703125" customWidth="1"/>
    <col min="13844" max="13844" width="11" bestFit="1" customWidth="1"/>
    <col min="13846" max="13846" width="14.28515625" customWidth="1"/>
    <col min="13849" max="13849" width="39.42578125" customWidth="1"/>
    <col min="13851" max="13851" width="22.28515625" customWidth="1"/>
    <col min="13855" max="13855" width="21.28515625" customWidth="1"/>
    <col min="13859" max="13859" width="20.28515625" customWidth="1"/>
    <col min="13863" max="13863" width="34.42578125" customWidth="1"/>
    <col min="13864" max="13864" width="26.5703125" customWidth="1"/>
    <col min="13865" max="13865" width="16.42578125" customWidth="1"/>
    <col min="13866" max="13867" width="20.140625" customWidth="1"/>
    <col min="13868" max="13868" width="37.140625" customWidth="1"/>
    <col min="13869" max="13869" width="27" customWidth="1"/>
    <col min="13870" max="13870" width="12.140625" customWidth="1"/>
    <col min="13871" max="13871" width="12.42578125" bestFit="1" customWidth="1"/>
    <col min="13874" max="13874" width="34.85546875" customWidth="1"/>
    <col min="13879" max="13879" width="9.42578125" customWidth="1"/>
    <col min="14085" max="14085" width="12" bestFit="1" customWidth="1"/>
    <col min="14086" max="14086" width="16.7109375" bestFit="1" customWidth="1"/>
    <col min="14087" max="14087" width="11.42578125" customWidth="1"/>
    <col min="14088" max="14088" width="16.7109375" customWidth="1"/>
    <col min="14089" max="14089" width="11.42578125" customWidth="1"/>
    <col min="14090" max="14090" width="10.140625" customWidth="1"/>
    <col min="14091" max="14091" width="12.7109375" customWidth="1"/>
    <col min="14092" max="14092" width="11.5703125" customWidth="1"/>
    <col min="14093" max="14093" width="12" bestFit="1" customWidth="1"/>
    <col min="14094" max="14094" width="14" customWidth="1"/>
    <col min="14095" max="14095" width="11.5703125" customWidth="1"/>
    <col min="14096" max="14096" width="12.7109375" customWidth="1"/>
    <col min="14097" max="14097" width="12.5703125" customWidth="1"/>
    <col min="14098" max="14098" width="11.28515625" customWidth="1"/>
    <col min="14099" max="14099" width="34.5703125" customWidth="1"/>
    <col min="14100" max="14100" width="11" bestFit="1" customWidth="1"/>
    <col min="14102" max="14102" width="14.28515625" customWidth="1"/>
    <col min="14105" max="14105" width="39.42578125" customWidth="1"/>
    <col min="14107" max="14107" width="22.28515625" customWidth="1"/>
    <col min="14111" max="14111" width="21.28515625" customWidth="1"/>
    <col min="14115" max="14115" width="20.28515625" customWidth="1"/>
    <col min="14119" max="14119" width="34.42578125" customWidth="1"/>
    <col min="14120" max="14120" width="26.5703125" customWidth="1"/>
    <col min="14121" max="14121" width="16.42578125" customWidth="1"/>
    <col min="14122" max="14123" width="20.140625" customWidth="1"/>
    <col min="14124" max="14124" width="37.140625" customWidth="1"/>
    <col min="14125" max="14125" width="27" customWidth="1"/>
    <col min="14126" max="14126" width="12.140625" customWidth="1"/>
    <col min="14127" max="14127" width="12.42578125" bestFit="1" customWidth="1"/>
    <col min="14130" max="14130" width="34.85546875" customWidth="1"/>
    <col min="14135" max="14135" width="9.42578125" customWidth="1"/>
    <col min="14341" max="14341" width="12" bestFit="1" customWidth="1"/>
    <col min="14342" max="14342" width="16.7109375" bestFit="1" customWidth="1"/>
    <col min="14343" max="14343" width="11.42578125" customWidth="1"/>
    <col min="14344" max="14344" width="16.7109375" customWidth="1"/>
    <col min="14345" max="14345" width="11.42578125" customWidth="1"/>
    <col min="14346" max="14346" width="10.140625" customWidth="1"/>
    <col min="14347" max="14347" width="12.7109375" customWidth="1"/>
    <col min="14348" max="14348" width="11.5703125" customWidth="1"/>
    <col min="14349" max="14349" width="12" bestFit="1" customWidth="1"/>
    <col min="14350" max="14350" width="14" customWidth="1"/>
    <col min="14351" max="14351" width="11.5703125" customWidth="1"/>
    <col min="14352" max="14352" width="12.7109375" customWidth="1"/>
    <col min="14353" max="14353" width="12.5703125" customWidth="1"/>
    <col min="14354" max="14354" width="11.28515625" customWidth="1"/>
    <col min="14355" max="14355" width="34.5703125" customWidth="1"/>
    <col min="14356" max="14356" width="11" bestFit="1" customWidth="1"/>
    <col min="14358" max="14358" width="14.28515625" customWidth="1"/>
    <col min="14361" max="14361" width="39.42578125" customWidth="1"/>
    <col min="14363" max="14363" width="22.28515625" customWidth="1"/>
    <col min="14367" max="14367" width="21.28515625" customWidth="1"/>
    <col min="14371" max="14371" width="20.28515625" customWidth="1"/>
    <col min="14375" max="14375" width="34.42578125" customWidth="1"/>
    <col min="14376" max="14376" width="26.5703125" customWidth="1"/>
    <col min="14377" max="14377" width="16.42578125" customWidth="1"/>
    <col min="14378" max="14379" width="20.140625" customWidth="1"/>
    <col min="14380" max="14380" width="37.140625" customWidth="1"/>
    <col min="14381" max="14381" width="27" customWidth="1"/>
    <col min="14382" max="14382" width="12.140625" customWidth="1"/>
    <col min="14383" max="14383" width="12.42578125" bestFit="1" customWidth="1"/>
    <col min="14386" max="14386" width="34.85546875" customWidth="1"/>
    <col min="14391" max="14391" width="9.42578125" customWidth="1"/>
    <col min="14597" max="14597" width="12" bestFit="1" customWidth="1"/>
    <col min="14598" max="14598" width="16.7109375" bestFit="1" customWidth="1"/>
    <col min="14599" max="14599" width="11.42578125" customWidth="1"/>
    <col min="14600" max="14600" width="16.7109375" customWidth="1"/>
    <col min="14601" max="14601" width="11.42578125" customWidth="1"/>
    <col min="14602" max="14602" width="10.140625" customWidth="1"/>
    <col min="14603" max="14603" width="12.7109375" customWidth="1"/>
    <col min="14604" max="14604" width="11.5703125" customWidth="1"/>
    <col min="14605" max="14605" width="12" bestFit="1" customWidth="1"/>
    <col min="14606" max="14606" width="14" customWidth="1"/>
    <col min="14607" max="14607" width="11.5703125" customWidth="1"/>
    <col min="14608" max="14608" width="12.7109375" customWidth="1"/>
    <col min="14609" max="14609" width="12.5703125" customWidth="1"/>
    <col min="14610" max="14610" width="11.28515625" customWidth="1"/>
    <col min="14611" max="14611" width="34.5703125" customWidth="1"/>
    <col min="14612" max="14612" width="11" bestFit="1" customWidth="1"/>
    <col min="14614" max="14614" width="14.28515625" customWidth="1"/>
    <col min="14617" max="14617" width="39.42578125" customWidth="1"/>
    <col min="14619" max="14619" width="22.28515625" customWidth="1"/>
    <col min="14623" max="14623" width="21.28515625" customWidth="1"/>
    <col min="14627" max="14627" width="20.28515625" customWidth="1"/>
    <col min="14631" max="14631" width="34.42578125" customWidth="1"/>
    <col min="14632" max="14632" width="26.5703125" customWidth="1"/>
    <col min="14633" max="14633" width="16.42578125" customWidth="1"/>
    <col min="14634" max="14635" width="20.140625" customWidth="1"/>
    <col min="14636" max="14636" width="37.140625" customWidth="1"/>
    <col min="14637" max="14637" width="27" customWidth="1"/>
    <col min="14638" max="14638" width="12.140625" customWidth="1"/>
    <col min="14639" max="14639" width="12.42578125" bestFit="1" customWidth="1"/>
    <col min="14642" max="14642" width="34.85546875" customWidth="1"/>
    <col min="14647" max="14647" width="9.42578125" customWidth="1"/>
    <col min="14853" max="14853" width="12" bestFit="1" customWidth="1"/>
    <col min="14854" max="14854" width="16.7109375" bestFit="1" customWidth="1"/>
    <col min="14855" max="14855" width="11.42578125" customWidth="1"/>
    <col min="14856" max="14856" width="16.7109375" customWidth="1"/>
    <col min="14857" max="14857" width="11.42578125" customWidth="1"/>
    <col min="14858" max="14858" width="10.140625" customWidth="1"/>
    <col min="14859" max="14859" width="12.7109375" customWidth="1"/>
    <col min="14860" max="14860" width="11.5703125" customWidth="1"/>
    <col min="14861" max="14861" width="12" bestFit="1" customWidth="1"/>
    <col min="14862" max="14862" width="14" customWidth="1"/>
    <col min="14863" max="14863" width="11.5703125" customWidth="1"/>
    <col min="14864" max="14864" width="12.7109375" customWidth="1"/>
    <col min="14865" max="14865" width="12.5703125" customWidth="1"/>
    <col min="14866" max="14866" width="11.28515625" customWidth="1"/>
    <col min="14867" max="14867" width="34.5703125" customWidth="1"/>
    <col min="14868" max="14868" width="11" bestFit="1" customWidth="1"/>
    <col min="14870" max="14870" width="14.28515625" customWidth="1"/>
    <col min="14873" max="14873" width="39.42578125" customWidth="1"/>
    <col min="14875" max="14875" width="22.28515625" customWidth="1"/>
    <col min="14879" max="14879" width="21.28515625" customWidth="1"/>
    <col min="14883" max="14883" width="20.28515625" customWidth="1"/>
    <col min="14887" max="14887" width="34.42578125" customWidth="1"/>
    <col min="14888" max="14888" width="26.5703125" customWidth="1"/>
    <col min="14889" max="14889" width="16.42578125" customWidth="1"/>
    <col min="14890" max="14891" width="20.140625" customWidth="1"/>
    <col min="14892" max="14892" width="37.140625" customWidth="1"/>
    <col min="14893" max="14893" width="27" customWidth="1"/>
    <col min="14894" max="14894" width="12.140625" customWidth="1"/>
    <col min="14895" max="14895" width="12.42578125" bestFit="1" customWidth="1"/>
    <col min="14898" max="14898" width="34.85546875" customWidth="1"/>
    <col min="14903" max="14903" width="9.42578125" customWidth="1"/>
    <col min="15109" max="15109" width="12" bestFit="1" customWidth="1"/>
    <col min="15110" max="15110" width="16.7109375" bestFit="1" customWidth="1"/>
    <col min="15111" max="15111" width="11.42578125" customWidth="1"/>
    <col min="15112" max="15112" width="16.7109375" customWidth="1"/>
    <col min="15113" max="15113" width="11.42578125" customWidth="1"/>
    <col min="15114" max="15114" width="10.140625" customWidth="1"/>
    <col min="15115" max="15115" width="12.7109375" customWidth="1"/>
    <col min="15116" max="15116" width="11.5703125" customWidth="1"/>
    <col min="15117" max="15117" width="12" bestFit="1" customWidth="1"/>
    <col min="15118" max="15118" width="14" customWidth="1"/>
    <col min="15119" max="15119" width="11.5703125" customWidth="1"/>
    <col min="15120" max="15120" width="12.7109375" customWidth="1"/>
    <col min="15121" max="15121" width="12.5703125" customWidth="1"/>
    <col min="15122" max="15122" width="11.28515625" customWidth="1"/>
    <col min="15123" max="15123" width="34.5703125" customWidth="1"/>
    <col min="15124" max="15124" width="11" bestFit="1" customWidth="1"/>
    <col min="15126" max="15126" width="14.28515625" customWidth="1"/>
    <col min="15129" max="15129" width="39.42578125" customWidth="1"/>
    <col min="15131" max="15131" width="22.28515625" customWidth="1"/>
    <col min="15135" max="15135" width="21.28515625" customWidth="1"/>
    <col min="15139" max="15139" width="20.28515625" customWidth="1"/>
    <col min="15143" max="15143" width="34.42578125" customWidth="1"/>
    <col min="15144" max="15144" width="26.5703125" customWidth="1"/>
    <col min="15145" max="15145" width="16.42578125" customWidth="1"/>
    <col min="15146" max="15147" width="20.140625" customWidth="1"/>
    <col min="15148" max="15148" width="37.140625" customWidth="1"/>
    <col min="15149" max="15149" width="27" customWidth="1"/>
    <col min="15150" max="15150" width="12.140625" customWidth="1"/>
    <col min="15151" max="15151" width="12.42578125" bestFit="1" customWidth="1"/>
    <col min="15154" max="15154" width="34.85546875" customWidth="1"/>
    <col min="15159" max="15159" width="9.42578125" customWidth="1"/>
    <col min="15365" max="15365" width="12" bestFit="1" customWidth="1"/>
    <col min="15366" max="15366" width="16.7109375" bestFit="1" customWidth="1"/>
    <col min="15367" max="15367" width="11.42578125" customWidth="1"/>
    <col min="15368" max="15368" width="16.7109375" customWidth="1"/>
    <col min="15369" max="15369" width="11.42578125" customWidth="1"/>
    <col min="15370" max="15370" width="10.140625" customWidth="1"/>
    <col min="15371" max="15371" width="12.7109375" customWidth="1"/>
    <col min="15372" max="15372" width="11.5703125" customWidth="1"/>
    <col min="15373" max="15373" width="12" bestFit="1" customWidth="1"/>
    <col min="15374" max="15374" width="14" customWidth="1"/>
    <col min="15375" max="15375" width="11.5703125" customWidth="1"/>
    <col min="15376" max="15376" width="12.7109375" customWidth="1"/>
    <col min="15377" max="15377" width="12.5703125" customWidth="1"/>
    <col min="15378" max="15378" width="11.28515625" customWidth="1"/>
    <col min="15379" max="15379" width="34.5703125" customWidth="1"/>
    <col min="15380" max="15380" width="11" bestFit="1" customWidth="1"/>
    <col min="15382" max="15382" width="14.28515625" customWidth="1"/>
    <col min="15385" max="15385" width="39.42578125" customWidth="1"/>
    <col min="15387" max="15387" width="22.28515625" customWidth="1"/>
    <col min="15391" max="15391" width="21.28515625" customWidth="1"/>
    <col min="15395" max="15395" width="20.28515625" customWidth="1"/>
    <col min="15399" max="15399" width="34.42578125" customWidth="1"/>
    <col min="15400" max="15400" width="26.5703125" customWidth="1"/>
    <col min="15401" max="15401" width="16.42578125" customWidth="1"/>
    <col min="15402" max="15403" width="20.140625" customWidth="1"/>
    <col min="15404" max="15404" width="37.140625" customWidth="1"/>
    <col min="15405" max="15405" width="27" customWidth="1"/>
    <col min="15406" max="15406" width="12.140625" customWidth="1"/>
    <col min="15407" max="15407" width="12.42578125" bestFit="1" customWidth="1"/>
    <col min="15410" max="15410" width="34.85546875" customWidth="1"/>
    <col min="15415" max="15415" width="9.42578125" customWidth="1"/>
    <col min="15621" max="15621" width="12" bestFit="1" customWidth="1"/>
    <col min="15622" max="15622" width="16.7109375" bestFit="1" customWidth="1"/>
    <col min="15623" max="15623" width="11.42578125" customWidth="1"/>
    <col min="15624" max="15624" width="16.7109375" customWidth="1"/>
    <col min="15625" max="15625" width="11.42578125" customWidth="1"/>
    <col min="15626" max="15626" width="10.140625" customWidth="1"/>
    <col min="15627" max="15627" width="12.7109375" customWidth="1"/>
    <col min="15628" max="15628" width="11.5703125" customWidth="1"/>
    <col min="15629" max="15629" width="12" bestFit="1" customWidth="1"/>
    <col min="15630" max="15630" width="14" customWidth="1"/>
    <col min="15631" max="15631" width="11.5703125" customWidth="1"/>
    <col min="15632" max="15632" width="12.7109375" customWidth="1"/>
    <col min="15633" max="15633" width="12.5703125" customWidth="1"/>
    <col min="15634" max="15634" width="11.28515625" customWidth="1"/>
    <col min="15635" max="15635" width="34.5703125" customWidth="1"/>
    <col min="15636" max="15636" width="11" bestFit="1" customWidth="1"/>
    <col min="15638" max="15638" width="14.28515625" customWidth="1"/>
    <col min="15641" max="15641" width="39.42578125" customWidth="1"/>
    <col min="15643" max="15643" width="22.28515625" customWidth="1"/>
    <col min="15647" max="15647" width="21.28515625" customWidth="1"/>
    <col min="15651" max="15651" width="20.28515625" customWidth="1"/>
    <col min="15655" max="15655" width="34.42578125" customWidth="1"/>
    <col min="15656" max="15656" width="26.5703125" customWidth="1"/>
    <col min="15657" max="15657" width="16.42578125" customWidth="1"/>
    <col min="15658" max="15659" width="20.140625" customWidth="1"/>
    <col min="15660" max="15660" width="37.140625" customWidth="1"/>
    <col min="15661" max="15661" width="27" customWidth="1"/>
    <col min="15662" max="15662" width="12.140625" customWidth="1"/>
    <col min="15663" max="15663" width="12.42578125" bestFit="1" customWidth="1"/>
    <col min="15666" max="15666" width="34.85546875" customWidth="1"/>
    <col min="15671" max="15671" width="9.42578125" customWidth="1"/>
    <col min="15877" max="15877" width="12" bestFit="1" customWidth="1"/>
    <col min="15878" max="15878" width="16.7109375" bestFit="1" customWidth="1"/>
    <col min="15879" max="15879" width="11.42578125" customWidth="1"/>
    <col min="15880" max="15880" width="16.7109375" customWidth="1"/>
    <col min="15881" max="15881" width="11.42578125" customWidth="1"/>
    <col min="15882" max="15882" width="10.140625" customWidth="1"/>
    <col min="15883" max="15883" width="12.7109375" customWidth="1"/>
    <col min="15884" max="15884" width="11.5703125" customWidth="1"/>
    <col min="15885" max="15885" width="12" bestFit="1" customWidth="1"/>
    <col min="15886" max="15886" width="14" customWidth="1"/>
    <col min="15887" max="15887" width="11.5703125" customWidth="1"/>
    <col min="15888" max="15888" width="12.7109375" customWidth="1"/>
    <col min="15889" max="15889" width="12.5703125" customWidth="1"/>
    <col min="15890" max="15890" width="11.28515625" customWidth="1"/>
    <col min="15891" max="15891" width="34.5703125" customWidth="1"/>
    <col min="15892" max="15892" width="11" bestFit="1" customWidth="1"/>
    <col min="15894" max="15894" width="14.28515625" customWidth="1"/>
    <col min="15897" max="15897" width="39.42578125" customWidth="1"/>
    <col min="15899" max="15899" width="22.28515625" customWidth="1"/>
    <col min="15903" max="15903" width="21.28515625" customWidth="1"/>
    <col min="15907" max="15907" width="20.28515625" customWidth="1"/>
    <col min="15911" max="15911" width="34.42578125" customWidth="1"/>
    <col min="15912" max="15912" width="26.5703125" customWidth="1"/>
    <col min="15913" max="15913" width="16.42578125" customWidth="1"/>
    <col min="15914" max="15915" width="20.140625" customWidth="1"/>
    <col min="15916" max="15916" width="37.140625" customWidth="1"/>
    <col min="15917" max="15917" width="27" customWidth="1"/>
    <col min="15918" max="15918" width="12.140625" customWidth="1"/>
    <col min="15919" max="15919" width="12.42578125" bestFit="1" customWidth="1"/>
    <col min="15922" max="15922" width="34.85546875" customWidth="1"/>
    <col min="15927" max="15927" width="9.42578125" customWidth="1"/>
    <col min="16133" max="16133" width="12" bestFit="1" customWidth="1"/>
    <col min="16134" max="16134" width="16.7109375" bestFit="1" customWidth="1"/>
    <col min="16135" max="16135" width="11.42578125" customWidth="1"/>
    <col min="16136" max="16136" width="16.7109375" customWidth="1"/>
    <col min="16137" max="16137" width="11.42578125" customWidth="1"/>
    <col min="16138" max="16138" width="10.140625" customWidth="1"/>
    <col min="16139" max="16139" width="12.7109375" customWidth="1"/>
    <col min="16140" max="16140" width="11.5703125" customWidth="1"/>
    <col min="16141" max="16141" width="12" bestFit="1" customWidth="1"/>
    <col min="16142" max="16142" width="14" customWidth="1"/>
    <col min="16143" max="16143" width="11.5703125" customWidth="1"/>
    <col min="16144" max="16144" width="12.7109375" customWidth="1"/>
    <col min="16145" max="16145" width="12.5703125" customWidth="1"/>
    <col min="16146" max="16146" width="11.28515625" customWidth="1"/>
    <col min="16147" max="16147" width="34.5703125" customWidth="1"/>
    <col min="16148" max="16148" width="11" bestFit="1" customWidth="1"/>
    <col min="16150" max="16150" width="14.28515625" customWidth="1"/>
    <col min="16153" max="16153" width="39.42578125" customWidth="1"/>
    <col min="16155" max="16155" width="22.28515625" customWidth="1"/>
    <col min="16159" max="16159" width="21.28515625" customWidth="1"/>
    <col min="16163" max="16163" width="20.28515625" customWidth="1"/>
    <col min="16167" max="16167" width="34.42578125" customWidth="1"/>
    <col min="16168" max="16168" width="26.5703125" customWidth="1"/>
    <col min="16169" max="16169" width="16.42578125" customWidth="1"/>
    <col min="16170" max="16171" width="20.140625" customWidth="1"/>
    <col min="16172" max="16172" width="37.140625" customWidth="1"/>
    <col min="16173" max="16173" width="27" customWidth="1"/>
    <col min="16174" max="16174" width="12.140625" customWidth="1"/>
    <col min="16175" max="16175" width="12.42578125" bestFit="1" customWidth="1"/>
    <col min="16178" max="16178" width="34.85546875" customWidth="1"/>
    <col min="16183" max="16183" width="9.42578125" customWidth="1"/>
  </cols>
  <sheetData>
    <row r="1" spans="1:68" s="41" customFormat="1">
      <c r="BN1" s="188"/>
      <c r="BO1" s="188"/>
      <c r="BP1" s="188"/>
    </row>
    <row r="2" spans="1:68" s="41" customFormat="1">
      <c r="BN2" s="42"/>
      <c r="BO2" s="42"/>
      <c r="BP2" s="42"/>
    </row>
    <row r="3" spans="1:68" s="41" customFormat="1">
      <c r="BN3" s="42"/>
      <c r="BO3" s="42"/>
      <c r="BP3" s="42"/>
    </row>
    <row r="4" spans="1:68" s="41" customFormat="1">
      <c r="BN4" s="42"/>
      <c r="BO4" s="42"/>
      <c r="BP4" s="42"/>
    </row>
    <row r="5" spans="1:68" s="41" customFormat="1">
      <c r="BN5" s="42"/>
      <c r="BO5" s="42"/>
      <c r="BP5" s="42"/>
    </row>
    <row r="6" spans="1:68" s="41" customFormat="1">
      <c r="BN6" s="42"/>
      <c r="BO6" s="42"/>
      <c r="BP6" s="42"/>
    </row>
    <row r="7" spans="1:68" s="41" customFormat="1">
      <c r="BN7" s="42"/>
      <c r="BO7" s="42"/>
      <c r="BP7" s="42"/>
    </row>
    <row r="8" spans="1:68" s="41" customFormat="1">
      <c r="BN8" s="42"/>
      <c r="BO8" s="42"/>
      <c r="BP8" s="42"/>
    </row>
    <row r="9" spans="1:68" s="41" customFormat="1">
      <c r="BN9" s="42"/>
      <c r="BO9" s="42"/>
      <c r="BP9" s="42"/>
    </row>
    <row r="10" spans="1:68" s="41" customFormat="1">
      <c r="O10" s="194" t="s">
        <v>147</v>
      </c>
      <c r="P10" s="195"/>
      <c r="BN10" s="42"/>
      <c r="BO10" s="42"/>
      <c r="BP10" s="42"/>
    </row>
    <row r="11" spans="1:68" s="41" customFormat="1">
      <c r="O11" s="194"/>
      <c r="P11" s="195"/>
      <c r="BN11" s="42"/>
      <c r="BO11" s="42"/>
      <c r="BP11" s="42"/>
    </row>
    <row r="12" spans="1:68" s="41" customFormat="1">
      <c r="O12" s="192" t="s">
        <v>149</v>
      </c>
      <c r="P12" s="193"/>
      <c r="BN12" s="42"/>
      <c r="BO12" s="42"/>
      <c r="BP12" s="42"/>
    </row>
    <row r="13" spans="1:68" s="41" customFormat="1">
      <c r="O13" s="192" t="s">
        <v>152</v>
      </c>
      <c r="P13" s="193"/>
      <c r="BN13" s="42"/>
      <c r="BO13" s="42"/>
      <c r="BP13" s="42"/>
    </row>
    <row r="14" spans="1:68" s="41" customFormat="1">
      <c r="O14" s="192" t="s">
        <v>154</v>
      </c>
      <c r="P14" s="193"/>
      <c r="BN14" s="42"/>
      <c r="BO14" s="42"/>
      <c r="BP14" s="42"/>
    </row>
    <row r="15" spans="1:68" s="41" customFormat="1">
      <c r="O15" s="192"/>
      <c r="P15" s="193"/>
      <c r="BN15" s="42"/>
      <c r="BO15" s="42"/>
      <c r="BP15" s="42"/>
    </row>
    <row r="16" spans="1:68" ht="15.75" customHeight="1">
      <c r="A16" s="189" t="s">
        <v>146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90"/>
      <c r="M16" s="190"/>
      <c r="N16" s="190"/>
      <c r="O16" s="147" t="s">
        <v>158</v>
      </c>
      <c r="P16" s="147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BN16" s="42"/>
      <c r="BO16" s="42"/>
      <c r="BP16" s="42"/>
    </row>
    <row r="17" spans="1:68" ht="15.75">
      <c r="A17" s="191" t="s">
        <v>148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0"/>
      <c r="M17" s="190"/>
      <c r="N17" s="190"/>
      <c r="O17" s="147" t="s">
        <v>160</v>
      </c>
      <c r="P17" s="147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BN17" s="42"/>
      <c r="BO17" s="42"/>
      <c r="BP17" s="42"/>
    </row>
    <row r="18" spans="1:68" s="41" customFormat="1" ht="15.75" customHeight="1" thickBot="1">
      <c r="O18" s="147"/>
      <c r="P18" s="147"/>
      <c r="BN18" s="42"/>
      <c r="BO18" s="42"/>
      <c r="BP18" s="42"/>
    </row>
    <row r="19" spans="1:68" ht="15.75" customHeight="1" thickBot="1">
      <c r="A19" s="181" t="s">
        <v>150</v>
      </c>
      <c r="B19" s="186"/>
      <c r="C19" s="186"/>
      <c r="D19" s="186"/>
      <c r="E19" s="187"/>
      <c r="F19" s="41"/>
      <c r="G19" s="41"/>
      <c r="H19" s="41"/>
      <c r="I19" s="41"/>
      <c r="J19" s="181" t="s">
        <v>151</v>
      </c>
      <c r="K19" s="177"/>
      <c r="L19" s="177"/>
      <c r="M19" s="177"/>
      <c r="N19" s="178"/>
      <c r="O19" s="147" t="s">
        <v>276</v>
      </c>
      <c r="P19" s="147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BN19" s="42"/>
      <c r="BO19" s="42"/>
      <c r="BP19" s="42"/>
    </row>
    <row r="20" spans="1:68" ht="15.75" customHeight="1">
      <c r="A20" s="43"/>
      <c r="B20" s="44"/>
      <c r="C20" s="44"/>
      <c r="D20" s="44"/>
      <c r="E20" s="45"/>
      <c r="F20" s="41"/>
      <c r="G20" s="41"/>
      <c r="H20" s="41"/>
      <c r="I20" s="41"/>
      <c r="J20" s="173" t="s">
        <v>153</v>
      </c>
      <c r="K20" s="174"/>
      <c r="L20" s="175"/>
      <c r="M20" s="108">
        <v>0.2</v>
      </c>
      <c r="N20" s="109" t="s">
        <v>8</v>
      </c>
      <c r="O20" s="147" t="s">
        <v>277</v>
      </c>
      <c r="P20" s="147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BN20" s="42"/>
      <c r="BO20" s="42"/>
      <c r="BP20" s="42"/>
    </row>
    <row r="21" spans="1:68" ht="15.75">
      <c r="A21" s="43"/>
      <c r="B21" s="44"/>
      <c r="C21" s="44"/>
      <c r="D21" s="44"/>
      <c r="E21" s="45"/>
      <c r="F21" s="41"/>
      <c r="G21" s="41"/>
      <c r="H21" s="41"/>
      <c r="I21" s="41"/>
      <c r="J21" s="46" t="s">
        <v>155</v>
      </c>
      <c r="K21" s="47"/>
      <c r="L21" s="47"/>
      <c r="M21" s="110">
        <v>0.8357</v>
      </c>
      <c r="N21" s="111" t="s">
        <v>5</v>
      </c>
      <c r="O21" s="147" t="s">
        <v>278</v>
      </c>
      <c r="P21" s="147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BN21" s="42"/>
      <c r="BO21" s="42"/>
      <c r="BP21" s="42"/>
    </row>
    <row r="22" spans="1:68">
      <c r="A22" s="43"/>
      <c r="B22" s="44"/>
      <c r="C22" s="44"/>
      <c r="D22" s="44"/>
      <c r="E22" s="45"/>
      <c r="F22" s="41"/>
      <c r="G22" s="41"/>
      <c r="H22" s="41"/>
      <c r="I22" s="41"/>
      <c r="J22" s="46" t="s">
        <v>156</v>
      </c>
      <c r="K22" s="47"/>
      <c r="L22" s="47"/>
      <c r="M22" s="112">
        <f>+Dmax*(Vin-Vout)/(Lout*0.000001)</f>
        <v>808510.63829787239</v>
      </c>
      <c r="N22" s="111" t="s">
        <v>157</v>
      </c>
      <c r="O22" s="147"/>
      <c r="P22" s="147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BN22" s="42"/>
      <c r="BO22" s="42"/>
      <c r="BP22" s="42"/>
    </row>
    <row r="23" spans="1:68" ht="21.75" thickBot="1">
      <c r="A23" s="43"/>
      <c r="B23" s="44"/>
      <c r="C23" s="44"/>
      <c r="D23" s="44"/>
      <c r="E23" s="45"/>
      <c r="F23" s="41"/>
      <c r="G23" s="41"/>
      <c r="H23" s="41"/>
      <c r="I23" s="41"/>
      <c r="J23" s="46" t="s">
        <v>159</v>
      </c>
      <c r="K23" s="47"/>
      <c r="L23" s="47"/>
      <c r="M23" s="112">
        <f>1+Se*C28/(Sn)</f>
        <v>1.4651330263157893</v>
      </c>
      <c r="N23" s="111" t="s">
        <v>157</v>
      </c>
      <c r="O23" s="163" t="s">
        <v>279</v>
      </c>
      <c r="P23" s="164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BN23" s="42"/>
      <c r="BO23" s="42"/>
      <c r="BP23" s="42"/>
    </row>
    <row r="24" spans="1:68" ht="21">
      <c r="A24" s="48"/>
      <c r="B24" s="49" t="s">
        <v>161</v>
      </c>
      <c r="C24" s="50">
        <f>SQRT(1/(Lout*0.000001*ncap*Cap*0.000001*(Rout+ESR*0.001/ncap)/(Rout+DCR*0.001)))</f>
        <v>84780.893251327274</v>
      </c>
      <c r="D24" s="51" t="s">
        <v>126</v>
      </c>
      <c r="E24" s="48"/>
      <c r="F24" s="41"/>
      <c r="G24" s="41"/>
      <c r="H24" s="41"/>
      <c r="I24" s="41"/>
      <c r="J24" s="46" t="s">
        <v>162</v>
      </c>
      <c r="K24" s="47"/>
      <c r="L24" s="47"/>
      <c r="M24" s="113">
        <v>10000000</v>
      </c>
      <c r="N24" s="111" t="s">
        <v>163</v>
      </c>
      <c r="O24" s="163"/>
      <c r="P24" s="164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BN24" s="42"/>
      <c r="BO24" s="42"/>
      <c r="BP24" s="42"/>
    </row>
    <row r="25" spans="1:68" ht="21">
      <c r="A25" s="52"/>
      <c r="B25" s="53" t="s">
        <v>164</v>
      </c>
      <c r="C25" s="54">
        <f>1/(2*PI()*Cap*0.000001*ESR*0.001)</f>
        <v>2122065.907891938</v>
      </c>
      <c r="D25" s="55" t="s">
        <v>126</v>
      </c>
      <c r="E25" s="52"/>
      <c r="F25" s="41"/>
      <c r="G25" s="41"/>
      <c r="H25" s="41"/>
      <c r="I25" s="41"/>
      <c r="J25" s="46" t="s">
        <v>165</v>
      </c>
      <c r="K25" s="47"/>
      <c r="L25" s="47"/>
      <c r="M25" s="113">
        <v>0.8</v>
      </c>
      <c r="N25" s="111" t="s">
        <v>5</v>
      </c>
      <c r="O25" s="147" t="s">
        <v>280</v>
      </c>
      <c r="P25" s="164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BN25" s="42"/>
      <c r="BO25" s="42"/>
      <c r="BP25" s="42"/>
    </row>
    <row r="26" spans="1:68" ht="15.75" thickBot="1">
      <c r="A26" s="52"/>
      <c r="B26" s="53" t="s">
        <v>166</v>
      </c>
      <c r="C26" s="54">
        <f>1/(2*PI()*Cap*0.000001*ncap*(ESR*0.001/ncap+Vout/Iout))</f>
        <v>3178.3313647907212</v>
      </c>
      <c r="D26" s="55" t="s">
        <v>126</v>
      </c>
      <c r="E26" s="52"/>
      <c r="F26" s="41"/>
      <c r="G26" s="41"/>
      <c r="H26" s="41"/>
      <c r="I26" s="41"/>
      <c r="J26" s="56" t="s">
        <v>167</v>
      </c>
      <c r="K26" s="57"/>
      <c r="L26" s="57"/>
      <c r="M26" s="114">
        <v>2.9999999999999997E-4</v>
      </c>
      <c r="N26" s="115" t="s">
        <v>168</v>
      </c>
      <c r="O26" s="147" t="s">
        <v>281</v>
      </c>
      <c r="P26" s="147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BN26" s="42"/>
      <c r="BO26" s="42"/>
      <c r="BP26" s="42"/>
    </row>
    <row r="27" spans="1:68" ht="15.75" thickBot="1">
      <c r="A27" s="52"/>
      <c r="B27" s="53" t="s">
        <v>169</v>
      </c>
      <c r="C27" s="59">
        <f>1/(Gdo*(Cap*0.000001*ESR*0.001*Vout/(Iout*(Vout/Iout+DCR*0.001))+(Vout/Iout+ESR*0.001)*Cap*0.000001*ncap*DCR*0.001/(Vout/Iout+DCR*0.001)+Lout*0.000001/(Vout/Iout+DCR*0.001)))</f>
        <v>3.2824832702336826</v>
      </c>
      <c r="D27" s="55"/>
      <c r="E27" s="52"/>
      <c r="F27" s="41"/>
      <c r="G27" s="41"/>
      <c r="H27" s="41"/>
      <c r="I27" s="41"/>
      <c r="J27" s="176" t="s">
        <v>170</v>
      </c>
      <c r="K27" s="177"/>
      <c r="L27" s="178"/>
      <c r="M27" s="179" t="s">
        <v>171</v>
      </c>
      <c r="N27" s="18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BN27" s="42"/>
      <c r="BO27" s="42"/>
      <c r="BP27" s="42"/>
    </row>
    <row r="28" spans="1:68" ht="15.75" thickBot="1">
      <c r="A28" s="60"/>
      <c r="B28" s="61" t="s">
        <v>172</v>
      </c>
      <c r="C28" s="62">
        <f>+Fs*1000</f>
        <v>450000</v>
      </c>
      <c r="D28" s="63" t="s">
        <v>126</v>
      </c>
      <c r="E28" s="60"/>
      <c r="F28" s="41"/>
      <c r="G28" s="41"/>
      <c r="H28" s="41"/>
      <c r="I28" s="41"/>
      <c r="J28" s="64" t="s">
        <v>173</v>
      </c>
      <c r="K28" s="65">
        <v>0.1</v>
      </c>
      <c r="L28" s="66" t="s">
        <v>174</v>
      </c>
      <c r="M28" s="116">
        <f>+C28*K28</f>
        <v>45000</v>
      </c>
      <c r="N28" s="67" t="s">
        <v>126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BN28" s="42"/>
      <c r="BO28" s="42"/>
      <c r="BP28" s="42"/>
    </row>
    <row r="29" spans="1:68" ht="15.75" thickBot="1">
      <c r="A29" s="41"/>
      <c r="B29" s="41"/>
      <c r="C29" s="41"/>
      <c r="D29" s="41"/>
      <c r="E29" s="41"/>
      <c r="F29" s="41"/>
      <c r="G29" s="41"/>
      <c r="H29" s="41"/>
      <c r="I29" s="41"/>
      <c r="J29" s="43" t="s">
        <v>245</v>
      </c>
      <c r="K29" s="68">
        <f>2*PI()*Fc*Vout*Cap*ncap*0.000001*Dmax/(EA_BW*VFB)</f>
        <v>35342.917352885175</v>
      </c>
      <c r="L29" s="69" t="s">
        <v>163</v>
      </c>
      <c r="M29" s="124">
        <v>18000</v>
      </c>
      <c r="N29" s="69" t="s">
        <v>163</v>
      </c>
      <c r="O29" s="184" t="str">
        <f>IF('Power Loss'!F37="Internal", "Internal Compensation: Use R3=18k, C5=7.6nF, C6=0.1pF", "")</f>
        <v>Internal Compensation: Use R3=18k, C5=7.6nF, C6=0.1pF</v>
      </c>
      <c r="P29" s="185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BN29" s="42"/>
      <c r="BO29" s="42"/>
      <c r="BP29" s="42"/>
    </row>
    <row r="30" spans="1:68" ht="15.75" thickBot="1">
      <c r="A30" s="181" t="s">
        <v>175</v>
      </c>
      <c r="B30" s="182"/>
      <c r="C30" s="182"/>
      <c r="D30" s="182"/>
      <c r="E30" s="182"/>
      <c r="F30" s="182"/>
      <c r="G30" s="183"/>
      <c r="H30" s="41"/>
      <c r="I30" s="41"/>
      <c r="J30" s="43" t="s">
        <v>246</v>
      </c>
      <c r="K30" s="70">
        <f>1/(2*PI()*K29*F0)</f>
        <v>1.4168326711691837E-9</v>
      </c>
      <c r="L30" s="69" t="s">
        <v>176</v>
      </c>
      <c r="M30" s="124">
        <v>7.6000000000000002E-9</v>
      </c>
      <c r="N30" s="69" t="s">
        <v>176</v>
      </c>
      <c r="O30" s="184"/>
      <c r="P30" s="185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BN30" s="42"/>
      <c r="BO30" s="42"/>
      <c r="BP30" s="42"/>
    </row>
    <row r="31" spans="1:68" ht="15.75" thickBot="1">
      <c r="A31" s="168" t="s">
        <v>177</v>
      </c>
      <c r="B31" s="169"/>
      <c r="C31" s="71">
        <f>+_Rfb2*(Vout/VFB-1)</f>
        <v>157500</v>
      </c>
      <c r="D31" s="72" t="s">
        <v>8</v>
      </c>
      <c r="E31" s="73"/>
      <c r="F31" s="73"/>
      <c r="G31" s="51" t="s">
        <v>8</v>
      </c>
      <c r="H31" s="41"/>
      <c r="I31" s="41"/>
      <c r="J31" s="43" t="s">
        <v>247</v>
      </c>
      <c r="K31" s="70">
        <f>1/(2*PI()*K29*C28*0.5)</f>
        <v>2.0014060966387709E-11</v>
      </c>
      <c r="L31" s="81" t="s">
        <v>176</v>
      </c>
      <c r="M31" s="124">
        <v>1E-13</v>
      </c>
      <c r="N31" s="81" t="s">
        <v>176</v>
      </c>
      <c r="O31" s="184"/>
      <c r="P31" s="185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BN31" s="42"/>
      <c r="BO31" s="42"/>
      <c r="BP31" s="42"/>
    </row>
    <row r="32" spans="1:68" ht="15.75" thickBot="1">
      <c r="A32" s="166" t="s">
        <v>178</v>
      </c>
      <c r="B32" s="167"/>
      <c r="C32" s="58">
        <v>30000</v>
      </c>
      <c r="D32" s="74" t="s">
        <v>8</v>
      </c>
      <c r="E32" s="60" t="str">
        <f>IF(_Rfb2&gt;30000, "Please lower R2", " ")</f>
        <v xml:space="preserve"> </v>
      </c>
      <c r="F32" s="75"/>
      <c r="G32" s="63"/>
      <c r="H32" s="41"/>
      <c r="I32" s="41"/>
      <c r="J32" s="76" t="s">
        <v>179</v>
      </c>
      <c r="K32" s="77">
        <f>1/(2*PI()*K29*K30)</f>
        <v>3178.3313647907212</v>
      </c>
      <c r="L32" s="67" t="s">
        <v>126</v>
      </c>
      <c r="M32" s="123">
        <f>1/(2*PI()*M29*M30)</f>
        <v>1163.4133266951412</v>
      </c>
      <c r="N32" s="67" t="s">
        <v>126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BN32" s="42"/>
      <c r="BO32" s="42"/>
      <c r="BP32" s="42"/>
    </row>
    <row r="33" spans="1:68" ht="15.75" thickBot="1">
      <c r="A33" s="168" t="s">
        <v>244</v>
      </c>
      <c r="B33" s="169"/>
      <c r="C33" s="78">
        <v>1E-13</v>
      </c>
      <c r="D33" s="51" t="s">
        <v>176</v>
      </c>
      <c r="E33" s="44"/>
      <c r="F33" s="41"/>
      <c r="G33" s="41"/>
      <c r="H33" s="41"/>
      <c r="I33" s="41"/>
      <c r="J33" s="79" t="s">
        <v>180</v>
      </c>
      <c r="K33" s="80">
        <f>1/(2*PI()*K29*K31)</f>
        <v>225000.00000000003</v>
      </c>
      <c r="L33" s="69" t="s">
        <v>126</v>
      </c>
      <c r="M33" s="70">
        <f>1/(2*PI()*M29*M31)</f>
        <v>88419412.828830734</v>
      </c>
      <c r="N33" s="69" t="s">
        <v>126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BN33" s="42"/>
      <c r="BO33" s="42"/>
      <c r="BP33" s="42"/>
    </row>
    <row r="34" spans="1:68" ht="15.75" thickBot="1">
      <c r="A34" s="170" t="s">
        <v>181</v>
      </c>
      <c r="B34" s="171"/>
      <c r="C34" s="96">
        <v>1.0000000000000001E-18</v>
      </c>
      <c r="D34" s="97"/>
      <c r="E34" s="44"/>
      <c r="F34" s="41"/>
      <c r="G34" s="41"/>
      <c r="H34" s="41"/>
      <c r="I34" s="41"/>
      <c r="J34" s="41"/>
      <c r="K34" s="41"/>
      <c r="L34" s="66" t="s">
        <v>182</v>
      </c>
      <c r="M34" s="92">
        <f>LOOKUP(1,BH64:BH264,B64:B264)/1000</f>
        <v>21.877616239495524</v>
      </c>
      <c r="N34" s="67" t="s">
        <v>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BN34" s="42"/>
      <c r="BO34" s="42"/>
      <c r="BP34" s="42"/>
    </row>
    <row r="35" spans="1:68">
      <c r="A35" s="41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95" t="s">
        <v>183</v>
      </c>
      <c r="M35" s="93">
        <f>LOOKUP(1,BH64:BH264,BF64:BF264)</f>
        <v>86.441976589203861</v>
      </c>
      <c r="N35" s="69" t="s">
        <v>184</v>
      </c>
      <c r="O35" s="41" t="str">
        <f>IF(M35&lt;45,"Desired Phase Margin should be &gt;45 degree, Recommend to inrease Cout or adjust C3", " ")</f>
        <v xml:space="preserve"> 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BN35" s="42"/>
      <c r="BO35" s="42"/>
      <c r="BP35" s="42"/>
    </row>
    <row r="36" spans="1:68" s="86" customFormat="1" ht="15.75" thickBot="1">
      <c r="A36" s="83"/>
      <c r="B36" s="83"/>
      <c r="C36" s="83"/>
      <c r="D36" s="83"/>
      <c r="E36" s="83"/>
      <c r="F36" s="83"/>
      <c r="G36" s="83"/>
      <c r="H36" s="83"/>
      <c r="I36" s="84"/>
      <c r="J36" s="85"/>
      <c r="K36" s="84"/>
      <c r="L36" s="82" t="s">
        <v>242</v>
      </c>
      <c r="M36" s="94">
        <f>LOOKUP(1,BI65:BI265,BE65:BE265)</f>
        <v>-19.815096249367937</v>
      </c>
      <c r="N36" s="81" t="s">
        <v>249</v>
      </c>
      <c r="O36" s="165" t="str">
        <f>IF(M36 &gt; -10,"Desired Gain margin should be &lt;-10dB, Recommend to increase Cout ", " ")</f>
        <v xml:space="preserve"> 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BN36" s="42"/>
      <c r="BO36" s="42"/>
      <c r="BP36" s="42"/>
    </row>
    <row r="37" spans="1:68" s="83" customFormat="1">
      <c r="BN37" s="42"/>
      <c r="BO37" s="42"/>
      <c r="BP37" s="42"/>
    </row>
    <row r="38" spans="1:68" s="83" customForma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BN38" s="42"/>
      <c r="BO38" s="42"/>
      <c r="BP38" s="42"/>
    </row>
    <row r="39" spans="1:68" s="83" customFormat="1">
      <c r="A39" s="87" t="s">
        <v>185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N39" s="42"/>
      <c r="BO39" s="42"/>
      <c r="BP39" s="42"/>
    </row>
    <row r="40" spans="1:68" s="83" customFormat="1">
      <c r="A40" s="88">
        <f>PI()*C28</f>
        <v>1413716.6941154068</v>
      </c>
      <c r="B40" s="87" t="s">
        <v>186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N40" s="42"/>
      <c r="BO40" s="42"/>
      <c r="BP40" s="42"/>
    </row>
    <row r="41" spans="1:68" s="83" customFormat="1">
      <c r="A41" s="87">
        <f>-2/PI()</f>
        <v>-0.63661977236758138</v>
      </c>
      <c r="B41" s="87" t="s">
        <v>187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N41" s="42"/>
      <c r="BO41" s="42"/>
      <c r="BP41" s="42"/>
    </row>
    <row r="42" spans="1:68" s="83" customForma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N42" s="42"/>
      <c r="BO42" s="42"/>
      <c r="BP42" s="42"/>
    </row>
    <row r="43" spans="1:68" s="83" customFormat="1">
      <c r="A43" s="88">
        <f>1/(EA_DC*Sn*(1/C28))</f>
        <v>0.37988287573312679</v>
      </c>
      <c r="B43" s="87" t="s">
        <v>188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N43" s="42"/>
      <c r="BO43" s="42"/>
      <c r="BP43" s="42"/>
    </row>
    <row r="44" spans="1:68" s="83" customForma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N44" s="42"/>
      <c r="BO44" s="42"/>
      <c r="BP44" s="42"/>
    </row>
    <row r="45" spans="1:68" s="83" customForma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N45" s="42"/>
      <c r="BO45" s="42"/>
      <c r="BP45" s="42"/>
    </row>
    <row r="46" spans="1:68" s="83" customForma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N46" s="42"/>
      <c r="BO46" s="42"/>
      <c r="BP46" s="42"/>
    </row>
    <row r="47" spans="1:68" s="83" customForma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N47" s="42"/>
      <c r="BO47" s="42"/>
      <c r="BP47" s="42"/>
    </row>
    <row r="48" spans="1:68" s="83" customForma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N48" s="42"/>
      <c r="BO48" s="42"/>
      <c r="BP48" s="42"/>
    </row>
    <row r="49" spans="1:68" s="83" customForma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N49" s="42"/>
      <c r="BO49" s="42"/>
      <c r="BP49" s="42"/>
    </row>
    <row r="50" spans="1:68" s="83" customForma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N50" s="42"/>
      <c r="BO50" s="42"/>
      <c r="BP50" s="42"/>
    </row>
    <row r="51" spans="1:68" s="83" customForma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N51" s="42"/>
      <c r="BO51" s="42"/>
      <c r="BP51" s="42"/>
    </row>
    <row r="52" spans="1:68" s="83" customForma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N52" s="42"/>
      <c r="BO52" s="42"/>
      <c r="BP52" s="42"/>
    </row>
    <row r="53" spans="1:68" s="83" customForma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N53" s="42"/>
      <c r="BO53" s="42"/>
      <c r="BP53" s="42"/>
    </row>
    <row r="54" spans="1:68" s="83" customForma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N54" s="42"/>
      <c r="BO54" s="42"/>
      <c r="BP54" s="42"/>
    </row>
    <row r="55" spans="1:68" s="87" customFormat="1">
      <c r="B55" s="87" t="s">
        <v>189</v>
      </c>
      <c r="C55" s="87">
        <v>100</v>
      </c>
      <c r="Q55" s="88"/>
      <c r="BN55" s="42"/>
      <c r="BO55" s="42"/>
      <c r="BP55" s="42"/>
    </row>
    <row r="56" spans="1:68" s="87" customFormat="1">
      <c r="B56" s="87" t="s">
        <v>190</v>
      </c>
      <c r="C56" s="87">
        <v>1000000</v>
      </c>
      <c r="BN56" s="42"/>
      <c r="BO56" s="42"/>
      <c r="BP56" s="42"/>
    </row>
    <row r="57" spans="1:68" s="87" customFormat="1">
      <c r="B57" s="87" t="s">
        <v>191</v>
      </c>
      <c r="C57" s="87">
        <v>200</v>
      </c>
      <c r="BN57" s="42"/>
      <c r="BO57" s="42"/>
      <c r="BP57" s="42"/>
    </row>
    <row r="58" spans="1:68" s="87" customFormat="1">
      <c r="B58" s="87" t="s">
        <v>192</v>
      </c>
      <c r="C58" s="87">
        <f>LOG(Fstop/Fstart)/Fstep</f>
        <v>0.02</v>
      </c>
      <c r="BN58" s="42"/>
      <c r="BO58" s="42"/>
      <c r="BP58" s="42"/>
    </row>
    <row r="59" spans="1:68" s="87" customFormat="1">
      <c r="BN59" s="42"/>
      <c r="BO59" s="42"/>
      <c r="BP59" s="42"/>
    </row>
    <row r="60" spans="1:68" s="87" customFormat="1">
      <c r="F60" s="87" t="s">
        <v>193</v>
      </c>
      <c r="X60" s="89" t="s">
        <v>194</v>
      </c>
      <c r="AB60" s="89" t="s">
        <v>195</v>
      </c>
      <c r="AF60" s="89" t="s">
        <v>196</v>
      </c>
      <c r="AK60" s="87" t="s">
        <v>197</v>
      </c>
      <c r="AQ60" s="87" t="s">
        <v>198</v>
      </c>
      <c r="BN60" s="42"/>
      <c r="BO60" s="42"/>
      <c r="BP60" s="42"/>
    </row>
    <row r="61" spans="1:68" s="87" customFormat="1">
      <c r="J61" s="87" t="s">
        <v>199</v>
      </c>
      <c r="R61" s="87" t="s">
        <v>200</v>
      </c>
      <c r="X61" s="89" t="s">
        <v>201</v>
      </c>
      <c r="AB61" s="89" t="s">
        <v>202</v>
      </c>
      <c r="AF61" s="89" t="s">
        <v>203</v>
      </c>
      <c r="BN61" s="42"/>
      <c r="BO61" s="42"/>
      <c r="BP61" s="42"/>
    </row>
    <row r="62" spans="1:68" s="87" customFormat="1">
      <c r="A62" s="17"/>
      <c r="B62" s="17"/>
      <c r="C62" s="17"/>
      <c r="D62" s="17"/>
      <c r="E62" s="17"/>
      <c r="F62" s="17"/>
      <c r="G62" s="17"/>
      <c r="H62" s="17"/>
      <c r="AF62" s="89"/>
      <c r="AV62" s="172"/>
      <c r="AW62" s="172"/>
      <c r="AX62" s="17" t="s">
        <v>204</v>
      </c>
      <c r="AY62" s="17"/>
      <c r="AZ62" s="17" t="s">
        <v>205</v>
      </c>
      <c r="BD62" s="87" t="s">
        <v>206</v>
      </c>
      <c r="BH62" s="87" t="s">
        <v>207</v>
      </c>
      <c r="BN62" s="42"/>
      <c r="BO62" s="42"/>
      <c r="BP62" s="42"/>
    </row>
    <row r="63" spans="1:68" s="87" customFormat="1">
      <c r="A63" s="17" t="s">
        <v>192</v>
      </c>
      <c r="B63" s="17" t="s">
        <v>176</v>
      </c>
      <c r="C63" s="17" t="s">
        <v>208</v>
      </c>
      <c r="D63" s="17" t="s">
        <v>209</v>
      </c>
      <c r="E63" s="17" t="s">
        <v>210</v>
      </c>
      <c r="F63" s="17" t="s">
        <v>211</v>
      </c>
      <c r="G63" s="17" t="s">
        <v>212</v>
      </c>
      <c r="H63" s="17" t="s">
        <v>213</v>
      </c>
      <c r="J63" s="17" t="s">
        <v>214</v>
      </c>
      <c r="K63" s="17" t="s">
        <v>215</v>
      </c>
      <c r="N63" s="17" t="s">
        <v>216</v>
      </c>
      <c r="P63" s="104" t="s">
        <v>217</v>
      </c>
      <c r="R63" s="87" t="s">
        <v>214</v>
      </c>
      <c r="S63" s="87" t="s">
        <v>215</v>
      </c>
      <c r="T63" s="87" t="s">
        <v>218</v>
      </c>
      <c r="V63" s="104" t="s">
        <v>219</v>
      </c>
      <c r="X63" s="104" t="s">
        <v>220</v>
      </c>
      <c r="Y63" s="87" t="s">
        <v>214</v>
      </c>
      <c r="Z63" s="87" t="s">
        <v>221</v>
      </c>
      <c r="AB63" s="104" t="s">
        <v>222</v>
      </c>
      <c r="AC63" s="87" t="s">
        <v>214</v>
      </c>
      <c r="AD63" s="87" t="s">
        <v>221</v>
      </c>
      <c r="AF63" s="104" t="s">
        <v>223</v>
      </c>
      <c r="AG63" s="87" t="s">
        <v>224</v>
      </c>
      <c r="AH63" s="87" t="s">
        <v>225</v>
      </c>
      <c r="AJ63" s="87" t="s">
        <v>226</v>
      </c>
      <c r="AK63" s="87" t="s">
        <v>227</v>
      </c>
      <c r="AL63" s="105" t="s">
        <v>228</v>
      </c>
      <c r="AM63" s="105" t="s">
        <v>229</v>
      </c>
      <c r="AN63" s="105" t="s">
        <v>230</v>
      </c>
      <c r="AO63" s="87" t="s">
        <v>231</v>
      </c>
      <c r="AP63" s="104" t="s">
        <v>232</v>
      </c>
      <c r="AQ63" s="17" t="s">
        <v>233</v>
      </c>
      <c r="AR63" s="17"/>
      <c r="AS63" s="17"/>
      <c r="AT63" s="17" t="s">
        <v>234</v>
      </c>
      <c r="AU63" s="104" t="s">
        <v>235</v>
      </c>
      <c r="AV63" s="17"/>
      <c r="AW63" s="17" t="s">
        <v>236</v>
      </c>
      <c r="AX63" s="17" t="s">
        <v>237</v>
      </c>
      <c r="AY63" s="17" t="s">
        <v>221</v>
      </c>
      <c r="AZ63" s="17" t="s">
        <v>238</v>
      </c>
      <c r="BA63" s="17" t="s">
        <v>237</v>
      </c>
      <c r="BB63" s="17" t="s">
        <v>225</v>
      </c>
      <c r="BD63" s="17" t="s">
        <v>239</v>
      </c>
      <c r="BE63" s="17" t="s">
        <v>224</v>
      </c>
      <c r="BF63" s="17" t="s">
        <v>225</v>
      </c>
      <c r="BG63" s="17"/>
      <c r="BH63" s="17" t="s">
        <v>240</v>
      </c>
      <c r="BI63" s="106" t="s">
        <v>241</v>
      </c>
      <c r="BJ63" s="4"/>
      <c r="BK63" s="4"/>
      <c r="BL63" s="91"/>
      <c r="BM63" s="91"/>
      <c r="BN63" s="42"/>
      <c r="BO63" s="42"/>
      <c r="BP63" s="42"/>
    </row>
    <row r="64" spans="1:68" s="87" customFormat="1">
      <c r="A64" s="87">
        <v>0</v>
      </c>
      <c r="B64" s="87">
        <f>Fstart*10^(Step*A64)</f>
        <v>100</v>
      </c>
      <c r="C64" s="87" t="str">
        <f t="shared" ref="C64:C127" si="0">COMPLEX(0,2*PI()*B64,"j")</f>
        <v>628.318530717959j</v>
      </c>
      <c r="D64" s="87">
        <f t="shared" ref="D64:D127" si="1">(IMPRODUCT(C64,C64))/wn^2 + 1</f>
        <v>0.99999980246913578</v>
      </c>
      <c r="E64" s="87" t="str">
        <f t="shared" ref="E64:E127" si="2">IMDIV(C64,wn*Qn)</f>
        <v>-0.000698131700797732j</v>
      </c>
      <c r="F64" s="87" t="str">
        <f t="shared" ref="F64:F127" si="3">IMSUM(D64,E64)</f>
        <v>0.999999802469136-0.000698131700797732j</v>
      </c>
      <c r="G64" s="87">
        <f t="shared" ref="G64:G127" si="4">20*LOG(IMABS(F64),10)</f>
        <v>4.0096749791568237E-7</v>
      </c>
      <c r="H64" s="87">
        <f t="shared" ref="H64:H127" si="5">(IMARGUMENT(F64)*(180/PI()))</f>
        <v>-4.0000001402729218E-2</v>
      </c>
      <c r="J64" s="87">
        <f t="shared" ref="J64:J127" si="6">Vin/(Rout+DCR/1000)</f>
        <v>14.187192118226601</v>
      </c>
      <c r="K64" s="87" t="str">
        <f t="shared" ref="K64:K127" si="7">IMSUM(1,IMPRODUCT(C64,ncap*(Cap*10^-6)*(Rout+(ESR/(ncap*1000)))))</f>
        <v>1+0.0314630504257018j</v>
      </c>
      <c r="L64" s="87">
        <f t="shared" ref="L64:L127" si="8">(IMPRODUCT(C64,C64))/Gdo^2 + 1</f>
        <v>0.99994507579736414</v>
      </c>
      <c r="M64" s="87" t="str">
        <f t="shared" ref="M64:M127" si="9">IMDIV(C64,Q*Gdo)</f>
        <v>0.00225776823759712j</v>
      </c>
      <c r="N64" s="87" t="str">
        <f t="shared" ref="N64:N127" si="10">IMSUM(L64,M64)</f>
        <v>0.999945075797364+0.00225776823759712j</v>
      </c>
      <c r="O64" s="87" t="str">
        <f t="shared" ref="O64:O127" si="11">IMDIV(K64,N64)</f>
        <v>1.00012087260561+0.0292066134357296j</v>
      </c>
      <c r="P64" s="87" t="str">
        <f t="shared" ref="P64:P127" si="12">IMPRODUCT(J64,O64)</f>
        <v>14.1889069611042+0.414359835935474j</v>
      </c>
      <c r="R64" s="87">
        <f t="shared" ref="R64:R127" si="13">Vin/(1+((DCR*10^-3)/Rout))</f>
        <v>23.645320197044338</v>
      </c>
      <c r="S64" s="87" t="str">
        <f t="shared" ref="S64:S127" si="14">IMSUM(1,IMPRODUCT(C64,ncap*(Cap*10^-6)*(ESR/(ncap*1000))))</f>
        <v>1+0.0000471238898038469j</v>
      </c>
      <c r="T64" s="87" t="str">
        <f t="shared" ref="T64:T127" si="15">IMSUM(L64,M64)</f>
        <v>0.999945075797364+0.00225776823759712j</v>
      </c>
      <c r="U64" s="87" t="str">
        <f t="shared" ref="U64:U127" si="16">IMDIV(S64,T64)</f>
        <v>1.00004993529399-0.00221087852085386j</v>
      </c>
      <c r="V64" s="87" t="str">
        <f t="shared" ref="V64:V127" si="17">IMPRODUCT(R64,U64)</f>
        <v>23.6465009330599-0.0522769305423573j</v>
      </c>
      <c r="X64" s="87" t="str">
        <f t="shared" ref="X64:X127" si="18">IMPRODUCT(Fm,Dmax,P64,F64)</f>
        <v>1.07804632136741+0.0307290318773319j</v>
      </c>
      <c r="Y64" s="87">
        <f t="shared" ref="Y64:Y127" si="19">20*LOG(IMABS(X64),10)</f>
        <v>0.65627564553096907</v>
      </c>
      <c r="Z64" s="87">
        <f t="shared" ref="Z64:Z127" si="20">IF((IMARGUMENT(X64)*(180/PI()))&lt;0,(IMARGUMENT(X64)*(180/PI()))+180,(IMARGUMENT(X64)*(180/PI()))-180)</f>
        <v>-178.36726197010719</v>
      </c>
      <c r="AB64" s="87" t="str">
        <f t="shared" ref="AB64:AB127" si="21">IMPRODUCT(Fm,V64)</f>
        <v>8.98290077547686-0.0198591107089316j</v>
      </c>
      <c r="AC64" s="87">
        <f t="shared" ref="AC64:AC127" si="22">20*LOG(IMABS(AB64),10)</f>
        <v>19.068353276464954</v>
      </c>
      <c r="AD64" s="87">
        <f t="shared" ref="AD64:AD127" si="23">IF((IMARGUMENT(AB64)*(180/PI()))&lt;0,(IMARGUMENT(AB64)*(180/PI()))+180,(IMARGUMENT(AB64)*(180/PI()))-180)</f>
        <v>179.87333252328892</v>
      </c>
      <c r="AF64" s="87" t="str">
        <f t="shared" ref="AF64:AF127" si="24">IMDIV(AB64,IMSUM(1,X64))</f>
        <v>4.32167619585021-0.073463249940581j</v>
      </c>
      <c r="AG64" s="87">
        <f t="shared" ref="AG64:AG127" si="25">20*LOG(IMABS(AF64),10)</f>
        <v>12.714299230457225</v>
      </c>
      <c r="AH64" s="87">
        <f t="shared" ref="AH64:AH127" si="26">IF((IMARGUMENT(AF64)*(180/PI()))&lt;0,(IMARGUMENT(AF64)*(180/PI()))+180,(IMARGUMENT(AF64)*(180/PI()))-180)</f>
        <v>179.0261350854561</v>
      </c>
      <c r="AJ64" s="87" t="str">
        <f t="shared" ref="AJ64:AJ127" si="27">IMDIV(_Rfb1,IMSUM(1,IMPRODUCT(C64,_Cfb1*_Rfb1)))</f>
        <v>157499.999984576-1.5586226551096j</v>
      </c>
      <c r="AK64" s="87" t="str">
        <f t="shared" ref="AK64:AK127" si="28">IMDIV(_Rfb2,IMSUM(1,IMPRODUCT(C64,_Cfb2*_Rfb2)))</f>
        <v>30000-5.65486677646164E-07j</v>
      </c>
      <c r="AL64" s="87" t="str">
        <f>IMDIV(IMSUM(1,IMPRODUCT(C64,10000,0.000000000045)),IMPRODUCT(C64,0.000000000045))</f>
        <v>10000-35367765.1315322j</v>
      </c>
      <c r="AM64" s="87" t="str">
        <f>IMDIV(AL64,IMSUM(1,IMPRODUCT(C64,AL64,0.0000000001)))</f>
        <v>963.13908347349-10976203.1596625j</v>
      </c>
      <c r="AN64" s="87" t="str">
        <f>IMSUM(10000,AM64)</f>
        <v>10963.1390834735-10976203.1596625j</v>
      </c>
      <c r="AO64" s="87" t="str">
        <f>IMDIV(IMPRODUCT(AN64,AK64),IMSUM(AN64,AK64))</f>
        <v>29999.693997185-81.9944254201151j</v>
      </c>
      <c r="AP64" s="87" t="str">
        <f>IMDIV(AK64,IMSUM(AJ64,AK64))</f>
        <v>0.160000000002106+1.33002213244013E-06j</v>
      </c>
      <c r="AQ64" s="87" t="str">
        <f t="shared" ref="AQ64:AQ127" si="29">IMSUM(1,IMPRODUCT(C64,_res1*_Cap1))</f>
        <v>1+0.0859539750022168j</v>
      </c>
      <c r="AR64" s="87">
        <f t="shared" ref="AR64:AR95" si="30">(IMPRODUCT(C64,C64))*_res1*_Cap1*_cap2 + (1/Roerr)</f>
        <v>9.9994599352471722E-8</v>
      </c>
      <c r="AS64" s="87" t="str">
        <f t="shared" ref="AS64:AS127" si="31">IMPRODUCT(C64,(_Cap1+_cap2+(_Cap1*_res1/Roerr)))</f>
        <v>4.78387906280978E-06j</v>
      </c>
      <c r="AT64" s="87" t="str">
        <f t="shared" ref="AT64:AT127" si="32">IMSUM(AR64,AS64)</f>
        <v>9.99945993524717E-08+4.78387906280978E-06j</v>
      </c>
      <c r="AU64" s="87" t="str">
        <f t="shared" ref="AU64:AU127" si="33">IMPRODUCT(EA_BW,IMDIV(AQ64,AT64))</f>
        <v>6.69810316022439-62.5706088987672j</v>
      </c>
      <c r="AW64" s="87" t="str">
        <f>IMDIV(IMPRODUCT(AP64,AU64),IMPRODUCT(IMSUM(1,IMPRODUCT(C64,1/1500000)),IMSUM(1,IMPRODUCT(C64,1/35000000))))</f>
        <v>1.06740628929633-10.0117548667283j</v>
      </c>
      <c r="AX64" s="87">
        <f t="shared" ref="AX64:AX127" si="34">20*LOG(IMABS(AW64),10)</f>
        <v>20.059291180334004</v>
      </c>
      <c r="AY64" s="87">
        <f t="shared" ref="AY64:AY127" si="35">IF((IMARGUMENT(AW64)*(180/PI()))&lt;0,(IMARGUMENT(AW64)*(180/PI()))+180,(IMARGUMENT(AW64)*(180/PI()))-180)</f>
        <v>96.085618384416946</v>
      </c>
      <c r="AZ64" s="87" t="str">
        <f t="shared" ref="AZ64:AZ127" si="36">IMPRODUCT(AW64,Fm,V64)</f>
        <v>9.38958023557984-89.9557982958884j</v>
      </c>
      <c r="BA64" s="87">
        <f t="shared" ref="BA64:BA127" si="37">20*LOG(IMABS(AZ64),10)</f>
        <v>39.127644456798961</v>
      </c>
      <c r="BB64" s="87">
        <f t="shared" ref="BB64:BB127" si="38">IF((IMARGUMENT(AZ64)*(180/PI()))&lt;0,(IMARGUMENT(AZ64)*(180/PI()))+180,(IMARGUMENT(AZ64)*(180/PI()))-180)</f>
        <v>95.958950907705869</v>
      </c>
      <c r="BD64" s="87" t="str">
        <f t="shared" ref="BD64:BD127" si="39">IMDIV(AZ64,IMSUM(1,X64))</f>
        <v>3.87748830163446-43.3459778212459j</v>
      </c>
      <c r="BE64" s="87">
        <f t="shared" ref="BE64:BE127" si="40">20*LOG(IMABS(BD64),10)</f>
        <v>32.773590410791229</v>
      </c>
      <c r="BF64" s="87">
        <f t="shared" ref="BF64:BF127" si="41">IF((IMARGUMENT(BD64)*(180/PI()))&lt;0,(IMARGUMENT(BD64)*(180/PI()))+180,(IMARGUMENT(BD64)*(180/PI()))-180)</f>
        <v>95.111753469873051</v>
      </c>
      <c r="BH64" s="87">
        <f>1-BE64</f>
        <v>-31.773590410791229</v>
      </c>
      <c r="BI64" s="107">
        <f>+-1*BF64</f>
        <v>-95.111753469873051</v>
      </c>
      <c r="BJ64" s="91"/>
      <c r="BK64" s="91"/>
      <c r="BL64" s="91"/>
      <c r="BM64" s="91"/>
      <c r="BN64" s="42"/>
      <c r="BO64" s="42"/>
      <c r="BP64" s="42"/>
    </row>
    <row r="65" spans="1:68" s="87" customFormat="1">
      <c r="A65" s="87">
        <v>1</v>
      </c>
      <c r="B65" s="87">
        <f t="shared" ref="B65:B127" si="42">Fstart*10^(Step*A65)</f>
        <v>104.71285480508996</v>
      </c>
      <c r="C65" s="87" t="str">
        <f t="shared" si="0"/>
        <v>657.930270784171j</v>
      </c>
      <c r="D65" s="87">
        <f t="shared" si="1"/>
        <v>0.99999978341171436</v>
      </c>
      <c r="E65" s="87" t="str">
        <f t="shared" si="2"/>
        <v>-0.000731033634204634j</v>
      </c>
      <c r="F65" s="87" t="str">
        <f t="shared" si="3"/>
        <v>0.999999783411714-0.000731033634204634j</v>
      </c>
      <c r="G65" s="87">
        <f t="shared" si="4"/>
        <v>4.396521307493026E-7</v>
      </c>
      <c r="H65" s="87">
        <f t="shared" si="5"/>
        <v>-4.1885143532584587E-2</v>
      </c>
      <c r="J65" s="87">
        <f t="shared" si="6"/>
        <v>14.187192118226601</v>
      </c>
      <c r="K65" s="87" t="str">
        <f t="shared" si="7"/>
        <v>1+0.0329458583095174j</v>
      </c>
      <c r="L65" s="87">
        <f t="shared" si="8"/>
        <v>0.9999397768093693</v>
      </c>
      <c r="M65" s="87" t="str">
        <f t="shared" si="9"/>
        <v>0.00236417357647051j</v>
      </c>
      <c r="N65" s="87" t="str">
        <f t="shared" si="10"/>
        <v>0.999939776809369+0.00236417357647051j</v>
      </c>
      <c r="O65" s="87" t="str">
        <f t="shared" si="11"/>
        <v>1.00013253519689+0.030583213215516j</v>
      </c>
      <c r="P65" s="87" t="str">
        <f t="shared" si="12"/>
        <v>14.1890724205273+0.433889921481212j</v>
      </c>
      <c r="R65" s="87">
        <f t="shared" si="13"/>
        <v>23.645320197044338</v>
      </c>
      <c r="S65" s="87" t="str">
        <f t="shared" si="14"/>
        <v>1+0.0000493447703088128j</v>
      </c>
      <c r="T65" s="87" t="str">
        <f t="shared" si="15"/>
        <v>0.999939776809369+0.00236417357647051j</v>
      </c>
      <c r="U65" s="87" t="str">
        <f t="shared" si="16"/>
        <v>1.00005475319529-0.00231509767478784j</v>
      </c>
      <c r="V65" s="87" t="str">
        <f t="shared" si="17"/>
        <v>23.6466148538788-0.0547412258077913j</v>
      </c>
      <c r="X65" s="87" t="str">
        <f t="shared" si="18"/>
        <v>1.07806099239639+0.0321773816860737j</v>
      </c>
      <c r="Y65" s="87">
        <f t="shared" si="19"/>
        <v>0.65673392444598788</v>
      </c>
      <c r="Z65" s="87">
        <f t="shared" si="20"/>
        <v>-178.29037411272628</v>
      </c>
      <c r="AB65" s="87" t="str">
        <f t="shared" si="21"/>
        <v>8.98294405204515-0.0207952542810202j</v>
      </c>
      <c r="AC65" s="87">
        <f t="shared" si="22"/>
        <v>19.068397170132684</v>
      </c>
      <c r="AD65" s="87">
        <f t="shared" si="23"/>
        <v>179.86736217337094</v>
      </c>
      <c r="AF65" s="87" t="str">
        <f t="shared" si="24"/>
        <v>4.32156172845214-0.0769235340455597j</v>
      </c>
      <c r="AG65" s="87">
        <f t="shared" si="25"/>
        <v>12.714190206603051</v>
      </c>
      <c r="AH65" s="87">
        <f t="shared" si="26"/>
        <v>178.98024632411381</v>
      </c>
      <c r="AJ65" s="87" t="str">
        <f t="shared" si="27"/>
        <v>157499.999983088-1.63207827778873j</v>
      </c>
      <c r="AK65" s="87" t="str">
        <f t="shared" si="28"/>
        <v>30000-5.92137243705753E-07j</v>
      </c>
      <c r="AL65" s="87" t="str">
        <f t="shared" ref="AL65:AL128" si="43">IMDIV(IMSUM(1,IMPRODUCT(C65,10000,0.000000000045)),IMPRODUCT(C65,0.000000000045))</f>
        <v>10000-33775953.4847608j</v>
      </c>
      <c r="AM65" s="87" t="str">
        <f t="shared" ref="AM65:AM128" si="44">IMDIV(AL65,IMSUM(1,IMPRODUCT(C65,AL65,0.0000000001)))</f>
        <v>963.139079940295-10482192.6574466j</v>
      </c>
      <c r="AN65" s="87" t="str">
        <f t="shared" ref="AN65:AN128" si="45">IMSUM(10000,AM65)</f>
        <v>10963.1390799403-10482192.6574466j</v>
      </c>
      <c r="AO65" s="87" t="str">
        <f t="shared" ref="AO65:AO128" si="46">IMDIV(IMPRODUCT(AN65,AK65),IMSUM(AN65,AK65))</f>
        <v>29999.6644750375-85.8585881277221j</v>
      </c>
      <c r="AP65" s="87" t="str">
        <f t="shared" ref="AP65:AP128" si="47">IMDIV(AK65,IMSUM(AJ65,AK65))</f>
        <v>0.160000000002309+1.39270414441724E-06j</v>
      </c>
      <c r="AQ65" s="87" t="str">
        <f t="shared" si="29"/>
        <v>1+0.0900048610432746j</v>
      </c>
      <c r="AR65" s="87">
        <f t="shared" si="30"/>
        <v>9.9994078307740192E-8</v>
      </c>
      <c r="AS65" s="87" t="str">
        <f t="shared" si="31"/>
        <v>5.00933633709111E-06j</v>
      </c>
      <c r="AT65" s="87" t="str">
        <f t="shared" si="32"/>
        <v>9.99940783077402E-08+5.00933633709111E-06j</v>
      </c>
      <c r="AU65" s="87" t="str">
        <f t="shared" si="33"/>
        <v>6.58306384293732-59.7567646600488j</v>
      </c>
      <c r="AW65" s="87" t="str">
        <f t="shared" ref="AW65:AW128" si="48">IMDIV(IMPRODUCT(AP65,AU65),IMPRODUCT(IMSUM(1,IMPRODUCT(C65,1/1500000)),IMSUM(1,IMPRODUCT(C65,1/35000000))))</f>
        <v>1.04899981873775-9.56155308791884j</v>
      </c>
      <c r="AX65" s="87">
        <f t="shared" si="34"/>
        <v>19.662529827293113</v>
      </c>
      <c r="AY65" s="87">
        <f t="shared" si="35"/>
        <v>96.260891676106255</v>
      </c>
      <c r="AZ65" s="87" t="str">
        <f t="shared" si="36"/>
        <v>9.22427175454196-85.9127106574059j</v>
      </c>
      <c r="BA65" s="87">
        <f t="shared" si="37"/>
        <v>38.730926997425797</v>
      </c>
      <c r="BB65" s="87">
        <f t="shared" si="38"/>
        <v>96.128253849477176</v>
      </c>
      <c r="BD65" s="87" t="str">
        <f t="shared" si="39"/>
        <v>3.79780901532334-41.401534662584j</v>
      </c>
      <c r="BE65" s="87">
        <f t="shared" si="40"/>
        <v>32.376720033896184</v>
      </c>
      <c r="BF65" s="87">
        <f t="shared" si="41"/>
        <v>95.241138000220062</v>
      </c>
      <c r="BH65" s="87">
        <f t="shared" ref="BH65:BH128" si="49">1-BE65</f>
        <v>-31.376720033896184</v>
      </c>
      <c r="BI65" s="107">
        <f t="shared" ref="BI65:BI128" si="50">+-1*BF65</f>
        <v>-95.241138000220062</v>
      </c>
      <c r="BJ65" s="91"/>
      <c r="BK65" s="91"/>
      <c r="BL65" s="91"/>
      <c r="BM65" s="91"/>
      <c r="BN65" s="42"/>
      <c r="BO65" s="42"/>
      <c r="BP65" s="42"/>
    </row>
    <row r="66" spans="1:68" s="87" customFormat="1">
      <c r="A66" s="87">
        <v>2</v>
      </c>
      <c r="B66" s="87">
        <f t="shared" si="42"/>
        <v>109.64781961431851</v>
      </c>
      <c r="C66" s="87" t="str">
        <f t="shared" si="0"/>
        <v>688.937569164964j</v>
      </c>
      <c r="D66" s="87">
        <f t="shared" si="1"/>
        <v>0.99999976251566725</v>
      </c>
      <c r="E66" s="87" t="str">
        <f t="shared" si="2"/>
        <v>-0.000765486187961071j</v>
      </c>
      <c r="F66" s="87" t="str">
        <f t="shared" si="3"/>
        <v>0.999999762515667-0.000765486187961071j</v>
      </c>
      <c r="G66" s="87">
        <f t="shared" si="4"/>
        <v>4.8206899594078518E-7</v>
      </c>
      <c r="H66" s="87">
        <f t="shared" si="5"/>
        <v>-4.3859129694884577E-2</v>
      </c>
      <c r="J66" s="87">
        <f t="shared" si="6"/>
        <v>14.187192118226601</v>
      </c>
      <c r="K66" s="87" t="str">
        <f t="shared" si="7"/>
        <v>1+0.0344985487759356j</v>
      </c>
      <c r="L66" s="87">
        <f t="shared" si="8"/>
        <v>0.99993396658457123</v>
      </c>
      <c r="M66" s="87" t="str">
        <f t="shared" si="9"/>
        <v>0.00247559364446987j</v>
      </c>
      <c r="N66" s="87" t="str">
        <f t="shared" si="10"/>
        <v>0.999933966584571+0.00247559364446987j</v>
      </c>
      <c r="O66" s="87" t="str">
        <f t="shared" si="11"/>
        <v>1.00014532318033+0.0320247100713082j</v>
      </c>
      <c r="P66" s="87" t="str">
        <f t="shared" si="12"/>
        <v>14.1892538461052+0.454340714312156j</v>
      </c>
      <c r="R66" s="87">
        <f t="shared" si="13"/>
        <v>23.645320197044338</v>
      </c>
      <c r="S66" s="87" t="str">
        <f t="shared" si="14"/>
        <v>1+0.0000516703176873723j</v>
      </c>
      <c r="T66" s="87" t="str">
        <f t="shared" si="15"/>
        <v>0.999933966584571+0.00247559364446987j</v>
      </c>
      <c r="U66" s="87" t="str">
        <f t="shared" si="16"/>
        <v>1.0000600359664-0.0024242320317602j</v>
      </c>
      <c r="V66" s="87" t="str">
        <f t="shared" si="17"/>
        <v>23.6467397666932-0.0573217426229013j</v>
      </c>
      <c r="X66" s="87" t="str">
        <f t="shared" si="18"/>
        <v>1.07807707910314+0.0336940101429516j</v>
      </c>
      <c r="Y66" s="87">
        <f t="shared" si="19"/>
        <v>0.65723637208165364</v>
      </c>
      <c r="Z66" s="87">
        <f t="shared" si="20"/>
        <v>-178.2098716291967</v>
      </c>
      <c r="AB66" s="87" t="str">
        <f t="shared" si="21"/>
        <v>8.9829915042843-0.0217755484296219j</v>
      </c>
      <c r="AC66" s="87">
        <f t="shared" si="22"/>
        <v>19.068445298811881</v>
      </c>
      <c r="AD66" s="87">
        <f t="shared" si="23"/>
        <v>179.86111034645776</v>
      </c>
      <c r="AF66" s="87" t="str">
        <f t="shared" si="24"/>
        <v>4.32143622404033-0.0805466101703958j</v>
      </c>
      <c r="AG66" s="87">
        <f t="shared" si="25"/>
        <v>12.71407066745877</v>
      </c>
      <c r="AH66" s="87">
        <f t="shared" si="26"/>
        <v>178.93219608858178</v>
      </c>
      <c r="AJ66" s="87" t="str">
        <f t="shared" si="27"/>
        <v>157499.999981456-1.70899575730863j</v>
      </c>
      <c r="AK66" s="87" t="str">
        <f t="shared" si="28"/>
        <v>30000-6.20043812248467E-07j</v>
      </c>
      <c r="AL66" s="87" t="str">
        <f t="shared" si="43"/>
        <v>10000-32255785.1637514j</v>
      </c>
      <c r="AM66" s="87" t="str">
        <f t="shared" si="44"/>
        <v>963.139076066234-10010416.2912292j</v>
      </c>
      <c r="AN66" s="87" t="str">
        <f t="shared" si="45"/>
        <v>10963.1390760662-10010416.2912292j</v>
      </c>
      <c r="AO66" s="87" t="str">
        <f t="shared" si="46"/>
        <v>29999.6321047379-89.9048461002159j</v>
      </c>
      <c r="AP66" s="87" t="str">
        <f t="shared" si="47"/>
        <v>0.160000000002532+1.45834026860773E-06j</v>
      </c>
      <c r="AQ66" s="87" t="str">
        <f t="shared" si="29"/>
        <v>1+0.0942466594617671j</v>
      </c>
      <c r="AR66" s="87">
        <f t="shared" si="30"/>
        <v>9.9993506993552849E-8</v>
      </c>
      <c r="AS66" s="87" t="str">
        <f t="shared" si="31"/>
        <v>5.24541908535682E-06j</v>
      </c>
      <c r="AT66" s="87" t="str">
        <f t="shared" si="32"/>
        <v>9.99935069935528E-08+5.24541908535682E-06j</v>
      </c>
      <c r="AU66" s="87" t="str">
        <f t="shared" si="33"/>
        <v>6.47813902873884-57.0692681153733j</v>
      </c>
      <c r="AW66" s="87" t="str">
        <f t="shared" si="48"/>
        <v>1.03221168173059-9.13156793808298j</v>
      </c>
      <c r="AX66" s="87">
        <f t="shared" si="34"/>
        <v>19.266047654573072</v>
      </c>
      <c r="AY66" s="87">
        <f t="shared" si="35"/>
        <v>96.449209326447971</v>
      </c>
      <c r="AZ66" s="87" t="str">
        <f t="shared" si="36"/>
        <v>9.07350386773479-82.0512741840595j</v>
      </c>
      <c r="BA66" s="87">
        <f t="shared" si="37"/>
        <v>38.334492953384952</v>
      </c>
      <c r="BB66" s="87">
        <f t="shared" si="38"/>
        <v>96.310319672905734</v>
      </c>
      <c r="BD66" s="87" t="str">
        <f t="shared" si="39"/>
        <v>3.72512010935491-39.5446296218588j</v>
      </c>
      <c r="BE66" s="87">
        <f t="shared" si="40"/>
        <v>31.980118322031856</v>
      </c>
      <c r="BF66" s="87">
        <f t="shared" si="41"/>
        <v>95.381405415029747</v>
      </c>
      <c r="BH66" s="87">
        <f t="shared" si="49"/>
        <v>-30.980118322031856</v>
      </c>
      <c r="BI66" s="107">
        <f t="shared" si="50"/>
        <v>-95.381405415029747</v>
      </c>
      <c r="BJ66" s="91"/>
      <c r="BK66" s="91"/>
      <c r="BL66" s="91"/>
      <c r="BM66" s="91"/>
      <c r="BN66" s="42"/>
      <c r="BO66" s="42"/>
      <c r="BP66" s="42"/>
    </row>
    <row r="67" spans="1:68" s="87" customFormat="1">
      <c r="A67" s="87">
        <v>3</v>
      </c>
      <c r="B67" s="87">
        <f t="shared" si="42"/>
        <v>114.81536214968828</v>
      </c>
      <c r="C67" s="87" t="str">
        <f t="shared" si="0"/>
        <v>721.406196497425j</v>
      </c>
      <c r="D67" s="87">
        <f t="shared" si="1"/>
        <v>0.99999973960360722</v>
      </c>
      <c r="E67" s="87" t="str">
        <f t="shared" si="2"/>
        <v>-0.000801562440552694j</v>
      </c>
      <c r="F67" s="87" t="str">
        <f t="shared" si="3"/>
        <v>0.999999739603607-0.000801562440552694j</v>
      </c>
      <c r="G67" s="87">
        <f t="shared" si="4"/>
        <v>5.2857816557493844E-7</v>
      </c>
      <c r="H67" s="87">
        <f t="shared" si="5"/>
        <v>-4.5926146982991731E-2</v>
      </c>
      <c r="J67" s="87">
        <f t="shared" si="6"/>
        <v>14.187192118226601</v>
      </c>
      <c r="K67" s="87" t="str">
        <f t="shared" si="7"/>
        <v>1+0.0361244152896086j</v>
      </c>
      <c r="L67" s="87">
        <f t="shared" si="8"/>
        <v>0.99992759579976542</v>
      </c>
      <c r="M67" s="87" t="str">
        <f t="shared" si="9"/>
        <v>0.00259226477849777j</v>
      </c>
      <c r="N67" s="87" t="str">
        <f t="shared" si="10"/>
        <v>0.999927595799765+0.00259226477849777j</v>
      </c>
      <c r="O67" s="87" t="str">
        <f t="shared" si="11"/>
        <v>1.00015934517349+0.0335341654606607j</v>
      </c>
      <c r="P67" s="87" t="str">
        <f t="shared" si="12"/>
        <v>14.189452778816+0.475755647914792j</v>
      </c>
      <c r="R67" s="87">
        <f t="shared" si="13"/>
        <v>23.645320197044338</v>
      </c>
      <c r="S67" s="87" t="str">
        <f t="shared" si="14"/>
        <v>1+0.0000541054647373069j</v>
      </c>
      <c r="T67" s="87" t="str">
        <f t="shared" si="15"/>
        <v>0.999927595799765+0.00259226477849777j</v>
      </c>
      <c r="U67" s="87" t="str">
        <f t="shared" si="16"/>
        <v>1.00006582846669-0.00253851375763449j</v>
      </c>
      <c r="V67" s="87" t="str">
        <f t="shared" si="17"/>
        <v>23.6468767322173-0.0600239706238697j</v>
      </c>
      <c r="X67" s="87" t="str">
        <f t="shared" si="18"/>
        <v>1.07809471811891+0.0352821380885196j</v>
      </c>
      <c r="Y67" s="87">
        <f t="shared" si="19"/>
        <v>0.65778724062495209</v>
      </c>
      <c r="Z67" s="87">
        <f t="shared" si="20"/>
        <v>-178.12558549674608</v>
      </c>
      <c r="AB67" s="87" t="str">
        <f t="shared" si="21"/>
        <v>8.98304353514147-0.0228020785735163j</v>
      </c>
      <c r="AC67" s="87">
        <f t="shared" si="22"/>
        <v>19.068498071135132</v>
      </c>
      <c r="AD67" s="87">
        <f t="shared" si="23"/>
        <v>179.85456376167468</v>
      </c>
      <c r="AF67" s="87" t="str">
        <f t="shared" si="24"/>
        <v>4.32129861911671-0.0843401081032401j</v>
      </c>
      <c r="AG67" s="87">
        <f t="shared" si="25"/>
        <v>12.713939599161906</v>
      </c>
      <c r="AH67" s="87">
        <f t="shared" si="26"/>
        <v>178.88188268891051</v>
      </c>
      <c r="AJ67" s="87" t="str">
        <f t="shared" si="27"/>
        <v>157499.999979667-1.78953824595539j</v>
      </c>
      <c r="AK67" s="87" t="str">
        <f t="shared" si="28"/>
        <v>30000-6.49265576847684E-07j</v>
      </c>
      <c r="AL67" s="87" t="str">
        <f t="shared" si="43"/>
        <v>10000-30804035.6876829j</v>
      </c>
      <c r="AM67" s="87" t="str">
        <f t="shared" si="44"/>
        <v>963.139071818403-9559873.36008538j</v>
      </c>
      <c r="AN67" s="87" t="str">
        <f t="shared" si="45"/>
        <v>10963.1390718184-9559873.36008538j</v>
      </c>
      <c r="AO67" s="87" t="str">
        <f t="shared" si="46"/>
        <v>29999.5966115199-94.1417786877867j</v>
      </c>
      <c r="AP67" s="87" t="str">
        <f t="shared" si="47"/>
        <v>0.160000000002776+1.52706972803091E-06j</v>
      </c>
      <c r="AQ67" s="87" t="str">
        <f t="shared" si="29"/>
        <v>1+0.0986883676808477j</v>
      </c>
      <c r="AR67" s="87">
        <f t="shared" si="30"/>
        <v>9.9992880560003275E-8</v>
      </c>
      <c r="AS67" s="87" t="str">
        <f t="shared" si="31"/>
        <v>5.49262807076816E-06j</v>
      </c>
      <c r="AT67" s="87" t="str">
        <f t="shared" si="32"/>
        <v>9.99928805600033E-08+5.49262807076816E-06j</v>
      </c>
      <c r="AU67" s="87" t="str">
        <f t="shared" si="33"/>
        <v>6.38244004739682-54.5024708714334j</v>
      </c>
      <c r="AW67" s="87" t="str">
        <f t="shared" si="48"/>
        <v>1.01689968962521-8.72089570469253j</v>
      </c>
      <c r="AX67" s="87">
        <f t="shared" si="34"/>
        <v>18.869873804016244</v>
      </c>
      <c r="AY67" s="87">
        <f t="shared" si="35"/>
        <v>96.650936932371096</v>
      </c>
      <c r="AZ67" s="87" t="str">
        <f t="shared" si="36"/>
        <v>8.93599963368527-78.3633732073055j</v>
      </c>
      <c r="BA67" s="87">
        <f t="shared" si="37"/>
        <v>37.938371875151383</v>
      </c>
      <c r="BB67" s="87">
        <f t="shared" si="38"/>
        <v>96.505500694045779</v>
      </c>
      <c r="BD67" s="87" t="str">
        <f t="shared" si="39"/>
        <v>3.65880593806678-37.7713599959018j</v>
      </c>
      <c r="BE67" s="87">
        <f t="shared" si="40"/>
        <v>31.583813403178141</v>
      </c>
      <c r="BF67" s="87">
        <f t="shared" si="41"/>
        <v>95.532819621281604</v>
      </c>
      <c r="BH67" s="87">
        <f t="shared" si="49"/>
        <v>-30.583813403178141</v>
      </c>
      <c r="BI67" s="107">
        <f t="shared" si="50"/>
        <v>-95.532819621281604</v>
      </c>
      <c r="BJ67" s="91"/>
      <c r="BK67" s="91"/>
      <c r="BL67" s="91"/>
      <c r="BM67" s="91"/>
      <c r="BN67" s="42"/>
      <c r="BO67" s="42"/>
      <c r="BP67" s="42"/>
    </row>
    <row r="68" spans="1:68" s="87" customFormat="1">
      <c r="A68" s="87">
        <v>4</v>
      </c>
      <c r="B68" s="87">
        <f t="shared" si="42"/>
        <v>120.2264434617413</v>
      </c>
      <c r="C68" s="87" t="str">
        <f t="shared" si="0"/>
        <v>755.40502309327j</v>
      </c>
      <c r="D68" s="87">
        <f t="shared" si="1"/>
        <v>0.99999971448103298</v>
      </c>
      <c r="E68" s="87" t="str">
        <f t="shared" si="2"/>
        <v>-0.000839338914548078j</v>
      </c>
      <c r="F68" s="87" t="str">
        <f t="shared" si="3"/>
        <v>0.999999714481033-0.000839338914548078j</v>
      </c>
      <c r="G68" s="87">
        <f t="shared" si="4"/>
        <v>5.7957446415431981E-7</v>
      </c>
      <c r="H68" s="87">
        <f t="shared" si="5"/>
        <v>-4.809057982236023E-2</v>
      </c>
      <c r="J68" s="87">
        <f t="shared" si="6"/>
        <v>14.187192118226601</v>
      </c>
      <c r="K68" s="87" t="str">
        <f t="shared" si="7"/>
        <v>1+0.0378269065313955j</v>
      </c>
      <c r="L68" s="87">
        <f t="shared" si="8"/>
        <v>0.99992061037313362</v>
      </c>
      <c r="M68" s="87" t="str">
        <f t="shared" si="9"/>
        <v>0.00271443445367185j</v>
      </c>
      <c r="N68" s="87" t="str">
        <f t="shared" si="10"/>
        <v>0.999920610373134+0.00271443445367185j</v>
      </c>
      <c r="O68" s="87" t="str">
        <f t="shared" si="11"/>
        <v>1.0001747202816+0.0351147855606947j</v>
      </c>
      <c r="P68" s="87" t="str">
        <f t="shared" si="12"/>
        <v>14.1896709084286+0.498180208939905j</v>
      </c>
      <c r="R68" s="87">
        <f t="shared" si="13"/>
        <v>23.645320197044338</v>
      </c>
      <c r="S68" s="87" t="str">
        <f t="shared" si="14"/>
        <v>1+0.0000566553767319952j</v>
      </c>
      <c r="T68" s="87" t="str">
        <f t="shared" si="15"/>
        <v>0.999920610373134+0.00271443445367185j</v>
      </c>
      <c r="U68" s="87" t="str">
        <f t="shared" si="16"/>
        <v>1.00007217988544-0.00265818603690536j</v>
      </c>
      <c r="V68" s="87" t="str">
        <f t="shared" si="17"/>
        <v>23.6470269135474-0.0628536599859396j</v>
      </c>
      <c r="X68" s="87" t="str">
        <f t="shared" si="18"/>
        <v>1.07811405926689+0.0369451385965181j</v>
      </c>
      <c r="Y68" s="87">
        <f t="shared" si="19"/>
        <v>0.65839119066323992</v>
      </c>
      <c r="Z68" s="87">
        <f t="shared" si="20"/>
        <v>-178.03733892319406</v>
      </c>
      <c r="AB68" s="87" t="str">
        <f t="shared" si="21"/>
        <v>8.98310058645703-0.0238770291058109j</v>
      </c>
      <c r="AC68" s="87">
        <f t="shared" si="22"/>
        <v>19.068555935168725</v>
      </c>
      <c r="AD68" s="87">
        <f t="shared" si="23"/>
        <v>179.84770850997529</v>
      </c>
      <c r="AF68" s="87" t="str">
        <f t="shared" si="24"/>
        <v>4.32114774784827-0.0883120109445964j</v>
      </c>
      <c r="AG68" s="87">
        <f t="shared" si="25"/>
        <v>12.713795890162487</v>
      </c>
      <c r="AH68" s="87">
        <f t="shared" si="26"/>
        <v>178.82919966888275</v>
      </c>
      <c r="AJ68" s="87" t="str">
        <f t="shared" si="27"/>
        <v>157499.999977705-1.87387658514549j</v>
      </c>
      <c r="AK68" s="87" t="str">
        <f t="shared" si="28"/>
        <v>30000-6.79864520783943E-07j</v>
      </c>
      <c r="AL68" s="87" t="str">
        <f t="shared" si="43"/>
        <v>10000-29417625.7012769j</v>
      </c>
      <c r="AM68" s="87" t="str">
        <f t="shared" si="44"/>
        <v>963.13906716075-9129608.20205286j</v>
      </c>
      <c r="AN68" s="87" t="str">
        <f t="shared" si="45"/>
        <v>10963.1390671607-9129608.20205286j</v>
      </c>
      <c r="AO68" s="87" t="str">
        <f t="shared" si="46"/>
        <v>29999.5576941124-98.5783691973635j</v>
      </c>
      <c r="AP68" s="87" t="str">
        <f t="shared" si="47"/>
        <v>0.160000000003044+1.59903830708499E-06j</v>
      </c>
      <c r="AQ68" s="87" t="str">
        <f t="shared" si="29"/>
        <v>1+0.103339407159159j</v>
      </c>
      <c r="AR68" s="87">
        <f t="shared" si="30"/>
        <v>9.9992193689274846E-8</v>
      </c>
      <c r="AS68" s="87" t="str">
        <f t="shared" si="31"/>
        <v>5.75148765672708E-06j</v>
      </c>
      <c r="AT68" s="87" t="str">
        <f t="shared" si="32"/>
        <v>9.99921936892748E-08+5.75148765672708E-06j</v>
      </c>
      <c r="AU68" s="87" t="str">
        <f t="shared" si="33"/>
        <v>6.29515620408774-52.0509738330717j</v>
      </c>
      <c r="AW68" s="87" t="str">
        <f t="shared" si="48"/>
        <v>1.00293412993573-8.32867256509498j</v>
      </c>
      <c r="AX68" s="87">
        <f t="shared" si="34"/>
        <v>18.474039891392493</v>
      </c>
      <c r="AY68" s="87">
        <f t="shared" si="35"/>
        <v>96.866463523669083</v>
      </c>
      <c r="AZ68" s="87" t="str">
        <f t="shared" si="36"/>
        <v>8.81059421355389-74.841250491325j</v>
      </c>
      <c r="BA68" s="87">
        <f t="shared" si="37"/>
        <v>37.542595826561218</v>
      </c>
      <c r="BB68" s="87">
        <f t="shared" si="38"/>
        <v>96.714172033644374</v>
      </c>
      <c r="BD68" s="87" t="str">
        <f t="shared" si="39"/>
        <v>3.59830473408932-36.0779958270854j</v>
      </c>
      <c r="BE68" s="87">
        <f t="shared" si="40"/>
        <v>31.18783578155497</v>
      </c>
      <c r="BF68" s="87">
        <f t="shared" si="41"/>
        <v>95.695663192551834</v>
      </c>
      <c r="BH68" s="87">
        <f t="shared" si="49"/>
        <v>-30.18783578155497</v>
      </c>
      <c r="BI68" s="107">
        <f t="shared" si="50"/>
        <v>-95.695663192551834</v>
      </c>
      <c r="BJ68" s="91"/>
      <c r="BK68" s="91"/>
      <c r="BL68" s="91"/>
      <c r="BM68" s="91"/>
      <c r="BN68" s="42"/>
      <c r="BO68" s="42"/>
      <c r="BP68" s="42"/>
    </row>
    <row r="69" spans="1:68" s="87" customFormat="1">
      <c r="A69" s="87">
        <v>5</v>
      </c>
      <c r="B69" s="87">
        <f t="shared" si="42"/>
        <v>125.89254117941672</v>
      </c>
      <c r="C69" s="87" t="str">
        <f t="shared" si="0"/>
        <v>791.006165022012j</v>
      </c>
      <c r="D69" s="87">
        <f t="shared" si="1"/>
        <v>0.999999686934678</v>
      </c>
      <c r="E69" s="87" t="str">
        <f t="shared" si="2"/>
        <v>-0.000878895738913347j</v>
      </c>
      <c r="F69" s="87" t="str">
        <f t="shared" si="3"/>
        <v>0.999999686934678-0.000878895738913347j</v>
      </c>
      <c r="G69" s="87">
        <f t="shared" si="4"/>
        <v>6.3549079552586331E-7</v>
      </c>
      <c r="H69" s="87">
        <f t="shared" si="5"/>
        <v>-5.0357019270579E-2</v>
      </c>
      <c r="J69" s="87">
        <f t="shared" si="6"/>
        <v>14.187192118226601</v>
      </c>
      <c r="K69" s="87" t="str">
        <f t="shared" si="7"/>
        <v>1+0.0396096337134773j</v>
      </c>
      <c r="L69" s="87">
        <f t="shared" si="8"/>
        <v>0.9999129510051411</v>
      </c>
      <c r="M69" s="87" t="str">
        <f t="shared" si="9"/>
        <v>0.00284236180825274j</v>
      </c>
      <c r="N69" s="87" t="str">
        <f t="shared" si="10"/>
        <v>0.999912951005141+0.00284236180825274j</v>
      </c>
      <c r="O69" s="87" t="str">
        <f t="shared" si="11"/>
        <v>1.0001915791111+0.0367699281533627j</v>
      </c>
      <c r="P69" s="87" t="str">
        <f t="shared" si="12"/>
        <v>14.1899100878816+0.521662034885146j</v>
      </c>
      <c r="R69" s="87">
        <f t="shared" si="13"/>
        <v>23.645320197044338</v>
      </c>
      <c r="S69" s="87" t="str">
        <f t="shared" si="14"/>
        <v>1+0.0000593254623766509j</v>
      </c>
      <c r="T69" s="87" t="str">
        <f t="shared" si="15"/>
        <v>0.999912951005141+0.00284236180825274j</v>
      </c>
      <c r="U69" s="87" t="str">
        <f t="shared" si="16"/>
        <v>1.00007914415994-0.00278350360340452j</v>
      </c>
      <c r="V69" s="87" t="str">
        <f t="shared" si="17"/>
        <v>23.6471915860478-0.0658168339721266j</v>
      </c>
      <c r="X69" s="87" t="str">
        <f t="shared" si="18"/>
        <v>1.07813526683686+0.0386865442135582j</v>
      </c>
      <c r="Y69" s="87">
        <f t="shared" si="19"/>
        <v>0.65905333021350487</v>
      </c>
      <c r="Z69" s="87">
        <f t="shared" si="20"/>
        <v>-177.94494700974417</v>
      </c>
      <c r="AB69" s="87" t="str">
        <f t="shared" si="21"/>
        <v>8.98316314272004-0.0250026881609812j</v>
      </c>
      <c r="AC69" s="87">
        <f t="shared" si="22"/>
        <v>19.068619382218664</v>
      </c>
      <c r="AD69" s="87">
        <f t="shared" si="23"/>
        <v>179.84053002420137</v>
      </c>
      <c r="AF69" s="87" t="str">
        <f t="shared" si="24"/>
        <v>4.32098233224843-0.092470670831746j</v>
      </c>
      <c r="AG69" s="87">
        <f t="shared" si="25"/>
        <v>12.713638321824286</v>
      </c>
      <c r="AH69" s="87">
        <f t="shared" si="26"/>
        <v>178.7740355852674</v>
      </c>
      <c r="AJ69" s="87" t="str">
        <f t="shared" si="27"/>
        <v>157499.999975554-1.96218966780318j</v>
      </c>
      <c r="AK69" s="87" t="str">
        <f t="shared" si="28"/>
        <v>30000-7.11905548519812E-07j</v>
      </c>
      <c r="AL69" s="87" t="str">
        <f t="shared" si="43"/>
        <v>10000-28093614.4430731j</v>
      </c>
      <c r="AM69" s="87" t="str">
        <f t="shared" si="44"/>
        <v>963.13906205374-8718708.16704475j</v>
      </c>
      <c r="AN69" s="87" t="str">
        <f t="shared" si="45"/>
        <v>10963.1390620537-8718708.16704475j</v>
      </c>
      <c r="AO69" s="87" t="str">
        <f t="shared" si="46"/>
        <v>29999.5150221825-103.224023874869j</v>
      </c>
      <c r="AP69" s="87" t="str">
        <f t="shared" si="47"/>
        <v>0.160000000003338+0.0000016743986607751j</v>
      </c>
      <c r="AQ69" s="87" t="str">
        <f t="shared" si="29"/>
        <v>1+0.108209643375011j</v>
      </c>
      <c r="AR69" s="87">
        <f t="shared" si="30"/>
        <v>9.9991440550497545E-8</v>
      </c>
      <c r="AS69" s="87" t="str">
        <f t="shared" si="31"/>
        <v>0.0000060225469191213j</v>
      </c>
      <c r="AT69" s="87" t="str">
        <f t="shared" si="32"/>
        <v>9.99914405504975E-08+0.0000060225469191213j</v>
      </c>
      <c r="AU69" s="87" t="str">
        <f t="shared" si="33"/>
        <v>6.21554795503212-49.7096166167928j</v>
      </c>
      <c r="AW69" s="87" t="str">
        <f t="shared" si="48"/>
        <v>0.990196674430562-7.95407289274557j</v>
      </c>
      <c r="AX69" s="87">
        <f t="shared" si="34"/>
        <v>18.078580246273074</v>
      </c>
      <c r="AY69" s="87">
        <f t="shared" si="35"/>
        <v>97.096201682000228</v>
      </c>
      <c r="AZ69" s="87" t="str">
        <f t="shared" si="36"/>
        <v>8.69622506564155-71.4774920232894j</v>
      </c>
      <c r="BA69" s="87">
        <f t="shared" si="37"/>
        <v>37.147199628491741</v>
      </c>
      <c r="BB69" s="87">
        <f t="shared" si="38"/>
        <v>96.936731706201584</v>
      </c>
      <c r="BD69" s="87" t="str">
        <f t="shared" si="39"/>
        <v>3.54310387942882-34.4609725897097j</v>
      </c>
      <c r="BE69" s="87">
        <f t="shared" si="40"/>
        <v>30.792218568097351</v>
      </c>
      <c r="BF69" s="87">
        <f t="shared" si="41"/>
        <v>95.870237267267626</v>
      </c>
      <c r="BH69" s="87">
        <f t="shared" si="49"/>
        <v>-29.792218568097351</v>
      </c>
      <c r="BI69" s="107">
        <f t="shared" si="50"/>
        <v>-95.870237267267626</v>
      </c>
      <c r="BJ69" s="91"/>
      <c r="BK69" s="91"/>
      <c r="BL69" s="91"/>
      <c r="BM69" s="91"/>
      <c r="BN69" s="42"/>
      <c r="BO69" s="42"/>
      <c r="BP69" s="42"/>
    </row>
    <row r="70" spans="1:68" s="87" customFormat="1">
      <c r="A70" s="87">
        <v>6</v>
      </c>
      <c r="B70" s="87">
        <f t="shared" si="42"/>
        <v>131.82567385564073</v>
      </c>
      <c r="C70" s="87" t="str">
        <f t="shared" si="0"/>
        <v>828.28513707881j</v>
      </c>
      <c r="D70" s="87">
        <f t="shared" si="1"/>
        <v>0.99999965673070046</v>
      </c>
      <c r="E70" s="87" t="str">
        <f t="shared" si="2"/>
        <v>-0.000920316818976455j</v>
      </c>
      <c r="F70" s="87" t="str">
        <f t="shared" si="3"/>
        <v>0.9999996567307-0.000920316818976455j</v>
      </c>
      <c r="G70" s="87">
        <f t="shared" si="4"/>
        <v>6.9680183817996352E-7</v>
      </c>
      <c r="H70" s="87">
        <f t="shared" si="5"/>
        <v>-5.2730272755722639E-2</v>
      </c>
      <c r="J70" s="87">
        <f t="shared" si="6"/>
        <v>14.187192118226601</v>
      </c>
      <c r="K70" s="87" t="str">
        <f t="shared" si="7"/>
        <v>1+0.0414763782392214j</v>
      </c>
      <c r="L70" s="87">
        <f t="shared" si="8"/>
        <v>0.999904552675141</v>
      </c>
      <c r="M70" s="87" t="str">
        <f t="shared" si="9"/>
        <v>0.00297631819331102j</v>
      </c>
      <c r="N70" s="87" t="str">
        <f t="shared" si="10"/>
        <v>0.999904552675141+0.00297631819331102j</v>
      </c>
      <c r="O70" s="87" t="str">
        <f t="shared" si="11"/>
        <v>1.00021006488132+0.0385031098448158j</v>
      </c>
      <c r="P70" s="87" t="str">
        <f t="shared" si="12"/>
        <v>14.1901723490552+0.546251016517584j</v>
      </c>
      <c r="R70" s="87">
        <f t="shared" si="13"/>
        <v>23.645320197044338</v>
      </c>
      <c r="S70" s="87" t="str">
        <f t="shared" si="14"/>
        <v>1+0.0000621213852809107j</v>
      </c>
      <c r="T70" s="87" t="str">
        <f t="shared" si="15"/>
        <v>0.999904552675141+0.00297631819331102j</v>
      </c>
      <c r="U70" s="87" t="str">
        <f t="shared" si="16"/>
        <v>1.00008678043408-0.00291473329771082j</v>
      </c>
      <c r="V70" s="87" t="str">
        <f t="shared" si="17"/>
        <v>23.647372148195-0.0689198021133593j</v>
      </c>
      <c r="X70" s="87" t="str">
        <f t="shared" si="18"/>
        <v>1.07815852098342+0.0405100545496585j</v>
      </c>
      <c r="Y70" s="87">
        <f t="shared" si="19"/>
        <v>0.65977925744385091</v>
      </c>
      <c r="Z70" s="87">
        <f t="shared" si="20"/>
        <v>-177.84821640213701</v>
      </c>
      <c r="AB70" s="87" t="str">
        <f t="shared" si="21"/>
        <v>8.98323173518776-0.026181452621781j</v>
      </c>
      <c r="AC70" s="87">
        <f t="shared" si="22"/>
        <v>19.068688951005239</v>
      </c>
      <c r="AD70" s="87">
        <f t="shared" si="23"/>
        <v>179.8330130476817</v>
      </c>
      <c r="AF70" s="87" t="str">
        <f t="shared" si="24"/>
        <v>4.32080097142217-0.0968248252674637j</v>
      </c>
      <c r="AG70" s="87">
        <f t="shared" si="25"/>
        <v>12.713465558124621</v>
      </c>
      <c r="AH70" s="87">
        <f t="shared" si="26"/>
        <v>178.71627377724388</v>
      </c>
      <c r="AJ70" s="87" t="str">
        <f t="shared" si="27"/>
        <v>157499.999973196-2.05466481781646j</v>
      </c>
      <c r="AK70" s="87" t="str">
        <f t="shared" si="28"/>
        <v>30000-7.45456623370929E-07j</v>
      </c>
      <c r="AL70" s="87" t="str">
        <f t="shared" si="43"/>
        <v>10000-26829193.5076795j</v>
      </c>
      <c r="AM70" s="87" t="str">
        <f t="shared" si="44"/>
        <v>963.139056454012-8326301.68099654j</v>
      </c>
      <c r="AN70" s="87" t="str">
        <f t="shared" si="45"/>
        <v>10963.139056454-8326301.68099654j</v>
      </c>
      <c r="AO70" s="87" t="str">
        <f t="shared" si="46"/>
        <v>29999.4682335328-108.08859177384j</v>
      </c>
      <c r="AP70" s="87" t="str">
        <f t="shared" si="47"/>
        <v>0.16000000000366+1.75331063851512E-06j</v>
      </c>
      <c r="AQ70" s="87" t="str">
        <f t="shared" si="29"/>
        <v>1+0.113309406752381j</v>
      </c>
      <c r="AR70" s="87">
        <f t="shared" si="30"/>
        <v>9.9990614750249574E-8</v>
      </c>
      <c r="AS70" s="87" t="str">
        <f t="shared" si="31"/>
        <v>0.0000063063808109879j</v>
      </c>
      <c r="AT70" s="87" t="str">
        <f t="shared" si="32"/>
        <v>9.99906147502496E-08+0.0000063063808109879j</v>
      </c>
      <c r="AU70" s="87" t="str">
        <f t="shared" si="33"/>
        <v>6.14294067744708-47.4734673592266j</v>
      </c>
      <c r="AW70" s="87" t="str">
        <f t="shared" si="48"/>
        <v>0.978579382314546-7.59630762663639j</v>
      </c>
      <c r="AX70" s="87">
        <f t="shared" si="34"/>
        <v>17.683532169374423</v>
      </c>
      <c r="AY70" s="87">
        <f t="shared" si="35"/>
        <v>97.340587609850303</v>
      </c>
      <c r="AZ70" s="87" t="str">
        <f t="shared" si="36"/>
        <v>8.59192299438122-68.2650123715836j</v>
      </c>
      <c r="BA70" s="87">
        <f t="shared" si="37"/>
        <v>36.752221120379666</v>
      </c>
      <c r="BB70" s="87">
        <f t="shared" si="38"/>
        <v>97.173600657532006</v>
      </c>
      <c r="BD70" s="87" t="str">
        <f t="shared" si="39"/>
        <v>3.49273558709143-32.9168841500951j</v>
      </c>
      <c r="BE70" s="87">
        <f t="shared" si="40"/>
        <v>30.396997727499048</v>
      </c>
      <c r="BF70" s="87">
        <f t="shared" si="41"/>
        <v>96.056861387094187</v>
      </c>
      <c r="BH70" s="87">
        <f t="shared" si="49"/>
        <v>-29.396997727499048</v>
      </c>
      <c r="BI70" s="107">
        <f t="shared" si="50"/>
        <v>-96.056861387094187</v>
      </c>
      <c r="BJ70" s="91"/>
      <c r="BK70" s="91"/>
      <c r="BL70" s="91"/>
      <c r="BM70" s="91"/>
      <c r="BN70" s="42"/>
      <c r="BO70" s="42"/>
      <c r="BP70" s="42"/>
    </row>
    <row r="71" spans="1:68" s="87" customFormat="1">
      <c r="A71" s="87">
        <v>7</v>
      </c>
      <c r="B71" s="87">
        <f t="shared" si="42"/>
        <v>138.03842646028849</v>
      </c>
      <c r="C71" s="87" t="str">
        <f t="shared" si="0"/>
        <v>867.321012961474j</v>
      </c>
      <c r="D71" s="87">
        <f t="shared" si="1"/>
        <v>0.99999962361269767</v>
      </c>
      <c r="E71" s="87" t="str">
        <f t="shared" si="2"/>
        <v>-0.000963690014401638j</v>
      </c>
      <c r="F71" s="87" t="str">
        <f t="shared" si="3"/>
        <v>0.999999623612698-0.000963690014401638j</v>
      </c>
      <c r="G71" s="87">
        <f t="shared" si="4"/>
        <v>7.6402807613475723E-7</v>
      </c>
      <c r="H71" s="87">
        <f t="shared" si="5"/>
        <v>-5.5215374273668211E-2</v>
      </c>
      <c r="J71" s="87">
        <f t="shared" si="6"/>
        <v>14.187192118226601</v>
      </c>
      <c r="K71" s="87" t="str">
        <f t="shared" si="7"/>
        <v>1+0.0434310997240458j</v>
      </c>
      <c r="L71" s="87">
        <f t="shared" si="8"/>
        <v>0.99989534408941194</v>
      </c>
      <c r="M71" s="87" t="str">
        <f t="shared" si="9"/>
        <v>0.00311658774829925j</v>
      </c>
      <c r="N71" s="87" t="str">
        <f t="shared" si="10"/>
        <v>0.999895344089412+0.00311658774829925j</v>
      </c>
      <c r="O71" s="87" t="str">
        <f t="shared" si="11"/>
        <v>1.0002303346438+0.0403180136360478j</v>
      </c>
      <c r="P71" s="87" t="str">
        <f t="shared" si="12"/>
        <v>14.1904599200697+0.57199940527989j</v>
      </c>
      <c r="R71" s="87">
        <f t="shared" si="13"/>
        <v>23.645320197044338</v>
      </c>
      <c r="S71" s="87" t="str">
        <f t="shared" si="14"/>
        <v>1+0.0000650490759721106j</v>
      </c>
      <c r="T71" s="87" t="str">
        <f t="shared" si="15"/>
        <v>0.999895344089412+0.00311658774829925j</v>
      </c>
      <c r="U71" s="87" t="str">
        <f t="shared" si="16"/>
        <v>1.00009515356117-0.00305215465277454j</v>
      </c>
      <c r="V71" s="87" t="str">
        <f t="shared" si="17"/>
        <v>23.6475701334661-0.0721691740557527j</v>
      </c>
      <c r="X71" s="87" t="str">
        <f t="shared" si="18"/>
        <v>1.07818401925945+0.0424195442376048j</v>
      </c>
      <c r="Y71" s="87">
        <f t="shared" si="19"/>
        <v>0.66057510742558712</v>
      </c>
      <c r="Z71" s="87">
        <f t="shared" si="20"/>
        <v>-177.74694493023537</v>
      </c>
      <c r="AB71" s="87" t="str">
        <f t="shared" si="21"/>
        <v>8.9833069464019-0.0274158333795839j</v>
      </c>
      <c r="AC71" s="87">
        <f t="shared" si="22"/>
        <v>19.068765232239265</v>
      </c>
      <c r="AD71" s="87">
        <f t="shared" si="23"/>
        <v>179.82514160129423</v>
      </c>
      <c r="AF71" s="87" t="str">
        <f t="shared" si="24"/>
        <v>4.32060212978631-0.101383614061388j</v>
      </c>
      <c r="AG71" s="87">
        <f t="shared" si="25"/>
        <v>12.713276134365831</v>
      </c>
      <c r="AH71" s="87">
        <f t="shared" si="26"/>
        <v>178.65579212561801</v>
      </c>
      <c r="AJ71" s="87" t="str">
        <f t="shared" si="27"/>
        <v>157499.99997061-2.15149818737608j</v>
      </c>
      <c r="AK71" s="87" t="str">
        <f t="shared" si="28"/>
        <v>30000-7.80588911665326E-07j</v>
      </c>
      <c r="AL71" s="87" t="str">
        <f t="shared" si="43"/>
        <v>10000-25621680.8887684j</v>
      </c>
      <c r="AM71" s="87" t="str">
        <f t="shared" si="44"/>
        <v>963.139050314031-7951556.39714043j</v>
      </c>
      <c r="AN71" s="87" t="str">
        <f t="shared" si="45"/>
        <v>10963.139050314-7951556.39714043j</v>
      </c>
      <c r="AO71" s="87" t="str">
        <f t="shared" si="46"/>
        <v>29999.4169310282-113.182385550971j</v>
      </c>
      <c r="AP71" s="87" t="str">
        <f t="shared" si="47"/>
        <v>0.160000000004013+1.83594162318975E-06j</v>
      </c>
      <c r="AQ71" s="87" t="str">
        <f t="shared" si="29"/>
        <v>1+0.11864951457313j</v>
      </c>
      <c r="AR71" s="87">
        <f t="shared" si="30"/>
        <v>9.9989709278283305E-8</v>
      </c>
      <c r="AS71" s="87" t="str">
        <f t="shared" si="31"/>
        <v>6.60359138206581E-06j</v>
      </c>
      <c r="AT71" s="87" t="str">
        <f t="shared" si="32"/>
        <v>9.99897092782833E-08+6.60359138206581E-06j</v>
      </c>
      <c r="AU71" s="87" t="str">
        <f t="shared" si="33"/>
        <v>6.07671898255665-45.3378129132378j</v>
      </c>
      <c r="AW71" s="87" t="str">
        <f t="shared" si="48"/>
        <v>0.967983790300857-7.25462270275363j</v>
      </c>
      <c r="AX71" s="87">
        <f t="shared" si="34"/>
        <v>17.288936208485701</v>
      </c>
      <c r="AY71" s="87">
        <f t="shared" si="35"/>
        <v>97.600081136523229</v>
      </c>
      <c r="AZ71" s="87" t="str">
        <f t="shared" si="36"/>
        <v>8.49680398016369-65.1970406014807j</v>
      </c>
      <c r="BA71" s="87">
        <f t="shared" si="37"/>
        <v>36.357701440724973</v>
      </c>
      <c r="BB71" s="87">
        <f t="shared" si="38"/>
        <v>97.425222737817435</v>
      </c>
      <c r="BD71" s="87" t="str">
        <f t="shared" si="39"/>
        <v>3.44677295771555-31.442475995327j</v>
      </c>
      <c r="BE71" s="87">
        <f t="shared" si="40"/>
        <v>30.002212342851532</v>
      </c>
      <c r="BF71" s="87">
        <f t="shared" si="41"/>
        <v>96.255873262141222</v>
      </c>
      <c r="BH71" s="87">
        <f t="shared" si="49"/>
        <v>-29.002212342851532</v>
      </c>
      <c r="BI71" s="107">
        <f t="shared" si="50"/>
        <v>-96.255873262141222</v>
      </c>
      <c r="BJ71" s="91"/>
      <c r="BK71" s="91"/>
      <c r="BL71" s="91"/>
      <c r="BM71" s="91"/>
      <c r="BN71" s="42"/>
      <c r="BO71" s="42"/>
      <c r="BP71" s="42"/>
    </row>
    <row r="72" spans="1:68" s="87" customFormat="1">
      <c r="A72" s="87">
        <v>8</v>
      </c>
      <c r="B72" s="87">
        <f t="shared" si="42"/>
        <v>144.54397707459273</v>
      </c>
      <c r="C72" s="87" t="str">
        <f t="shared" si="0"/>
        <v>908.196592996384j</v>
      </c>
      <c r="D72" s="87">
        <f t="shared" si="1"/>
        <v>0.99999958729952976</v>
      </c>
      <c r="E72" s="87" t="str">
        <f t="shared" si="2"/>
        <v>-0.00100910732555154j</v>
      </c>
      <c r="F72" s="87" t="str">
        <f t="shared" si="3"/>
        <v>0.99999958729953-0.00100910732555154j</v>
      </c>
      <c r="G72" s="87">
        <f t="shared" si="4"/>
        <v>8.377401846919984E-7</v>
      </c>
      <c r="H72" s="87">
        <f t="shared" si="5"/>
        <v>-5.7817595066010453E-2</v>
      </c>
      <c r="J72" s="87">
        <f t="shared" si="6"/>
        <v>14.187192118226601</v>
      </c>
      <c r="K72" s="87" t="str">
        <f t="shared" si="7"/>
        <v>1+0.0454779443942939j</v>
      </c>
      <c r="L72" s="87">
        <f t="shared" si="8"/>
        <v>0.99988524707594273</v>
      </c>
      <c r="M72" s="87" t="str">
        <f t="shared" si="9"/>
        <v>0.00326346800374981j</v>
      </c>
      <c r="N72" s="87" t="str">
        <f t="shared" si="10"/>
        <v>0.999885247075943+0.00326346800374981j</v>
      </c>
      <c r="O72" s="87" t="str">
        <f t="shared" si="11"/>
        <v>1.00025256061981+0.0422184968630067j</v>
      </c>
      <c r="P72" s="87" t="str">
        <f t="shared" si="12"/>
        <v>14.1907752442613+0.598961925938223j</v>
      </c>
      <c r="R72" s="87">
        <f t="shared" si="13"/>
        <v>23.645320197044338</v>
      </c>
      <c r="S72" s="87" t="str">
        <f t="shared" si="14"/>
        <v>1+0.0000681147444747288j</v>
      </c>
      <c r="T72" s="87" t="str">
        <f t="shared" si="15"/>
        <v>0.999885247075943+0.00326346800374981j</v>
      </c>
      <c r="U72" s="87" t="str">
        <f t="shared" si="16"/>
        <v>1.00010433465555-0.00319606050937408j</v>
      </c>
      <c r="V72" s="87" t="str">
        <f t="shared" si="17"/>
        <v>23.6477872233825-0.0755718741132787j</v>
      </c>
      <c r="X72" s="87" t="str">
        <f t="shared" si="18"/>
        <v>1.0782119782982+0.0444190712801567j</v>
      </c>
      <c r="Y72" s="87">
        <f t="shared" si="19"/>
        <v>0.6614476032887785</v>
      </c>
      <c r="Z72" s="87">
        <f t="shared" si="20"/>
        <v>-177.64092123620742</v>
      </c>
      <c r="AB72" s="87" t="str">
        <f t="shared" si="21"/>
        <v>8.98338941514364-0.0287084608626942j</v>
      </c>
      <c r="AC72" s="87">
        <f t="shared" si="22"/>
        <v>19.068848873642416</v>
      </c>
      <c r="AD72" s="87">
        <f t="shared" si="23"/>
        <v>179.81689894890982</v>
      </c>
      <c r="AF72" s="87" t="str">
        <f t="shared" si="24"/>
        <v>4.32038412417003-0.10615659688985j</v>
      </c>
      <c r="AG72" s="87">
        <f t="shared" si="25"/>
        <v>12.713068444806899</v>
      </c>
      <c r="AH72" s="87">
        <f t="shared" si="26"/>
        <v>178.59246280144558</v>
      </c>
      <c r="AJ72" s="87" t="str">
        <f t="shared" si="27"/>
        <v>157499.999967774-2.25289517304069j</v>
      </c>
      <c r="AK72" s="87" t="str">
        <f t="shared" si="28"/>
        <v>30000-8.17376933696745E-07j</v>
      </c>
      <c r="AL72" s="87" t="str">
        <f t="shared" si="43"/>
        <v>10000-24468515.2901809j</v>
      </c>
      <c r="AM72" s="87" t="str">
        <f t="shared" si="44"/>
        <v>963.139043581681-7593677.43048637j</v>
      </c>
      <c r="AN72" s="87" t="str">
        <f t="shared" si="45"/>
        <v>10963.1390435817-7593677.43048637j</v>
      </c>
      <c r="AO72" s="87" t="str">
        <f t="shared" si="46"/>
        <v>29999.3606792266-118.516203230853j</v>
      </c>
      <c r="AP72" s="87" t="str">
        <f t="shared" si="47"/>
        <v>0.1600000000044+1.92246688619601E-06j</v>
      </c>
      <c r="AQ72" s="87" t="str">
        <f t="shared" si="29"/>
        <v>1+0.124241293921905j</v>
      </c>
      <c r="AR72" s="87">
        <f t="shared" si="30"/>
        <v>9.998871644801506E-8</v>
      </c>
      <c r="AS72" s="87" t="str">
        <f t="shared" si="31"/>
        <v>6.91480905582401E-06j</v>
      </c>
      <c r="AT72" s="87" t="str">
        <f t="shared" si="32"/>
        <v>9.99887164480151E-08+6.91480905582401E-06j</v>
      </c>
      <c r="AU72" s="87" t="str">
        <f t="shared" si="33"/>
        <v>6.01632152473503-43.2981494233503j</v>
      </c>
      <c r="AW72" s="87" t="str">
        <f t="shared" si="48"/>
        <v>0.958320082064789-6.92829754623012j</v>
      </c>
      <c r="AX72" s="87">
        <f t="shared" si="34"/>
        <v>16.894836454050065</v>
      </c>
      <c r="AY72" s="87">
        <f t="shared" si="35"/>
        <v>97.875165646508492</v>
      </c>
      <c r="AZ72" s="87" t="str">
        <f t="shared" si="36"/>
        <v>8.41006172258936-62.2671067363392j</v>
      </c>
      <c r="BA72" s="87">
        <f t="shared" si="37"/>
        <v>35.963685327692481</v>
      </c>
      <c r="BB72" s="87">
        <f t="shared" si="38"/>
        <v>97.692064595418316</v>
      </c>
      <c r="BD72" s="87" t="str">
        <f t="shared" si="39"/>
        <v>3.40482637867794-30.034638724902j</v>
      </c>
      <c r="BE72" s="87">
        <f t="shared" si="40"/>
        <v>29.607904898856972</v>
      </c>
      <c r="BF72" s="87">
        <f t="shared" si="41"/>
        <v>96.467628447954056</v>
      </c>
      <c r="BH72" s="87">
        <f t="shared" si="49"/>
        <v>-28.607904898856972</v>
      </c>
      <c r="BI72" s="107">
        <f t="shared" si="50"/>
        <v>-96.467628447954056</v>
      </c>
      <c r="BJ72" s="91"/>
      <c r="BK72" s="91"/>
      <c r="BL72" s="91"/>
      <c r="BM72" s="91"/>
      <c r="BN72" s="42"/>
      <c r="BO72" s="42"/>
      <c r="BP72" s="42"/>
    </row>
    <row r="73" spans="1:68" s="87" customFormat="1">
      <c r="A73" s="87">
        <v>9</v>
      </c>
      <c r="B73" s="87">
        <f t="shared" si="42"/>
        <v>151.35612484362082</v>
      </c>
      <c r="C73" s="87" t="str">
        <f t="shared" si="0"/>
        <v>950.998579769077j</v>
      </c>
      <c r="D73" s="87">
        <f t="shared" si="1"/>
        <v>0.99999954748293274</v>
      </c>
      <c r="E73" s="87" t="str">
        <f t="shared" si="2"/>
        <v>-0.00105666508863231j</v>
      </c>
      <c r="F73" s="87" t="str">
        <f t="shared" si="3"/>
        <v>0.999999547482933-0.00105666508863231j</v>
      </c>
      <c r="G73" s="87">
        <f t="shared" si="4"/>
        <v>9.1856391571345485E-7</v>
      </c>
      <c r="H73" s="87">
        <f t="shared" si="5"/>
        <v>-6.0542454801225803E-2</v>
      </c>
      <c r="J73" s="87">
        <f t="shared" si="6"/>
        <v>14.187192118226601</v>
      </c>
      <c r="K73" s="87" t="str">
        <f t="shared" si="7"/>
        <v>1+0.0476212538819365j</v>
      </c>
      <c r="L73" s="87">
        <f t="shared" si="8"/>
        <v>0.9998741759208275</v>
      </c>
      <c r="M73" s="87" t="str">
        <f t="shared" si="9"/>
        <v>0.00341727051237711j</v>
      </c>
      <c r="N73" s="87" t="str">
        <f t="shared" si="10"/>
        <v>0.999874175920828+0.00341727051237711j</v>
      </c>
      <c r="O73" s="87" t="str">
        <f t="shared" si="11"/>
        <v>1.0002769316674+0.0442085995254652j</v>
      </c>
      <c r="P73" s="87" t="str">
        <f t="shared" si="12"/>
        <v>14.1911210009956+0.627195894745516j</v>
      </c>
      <c r="R73" s="87">
        <f t="shared" si="13"/>
        <v>23.645320197044338</v>
      </c>
      <c r="S73" s="87" t="str">
        <f t="shared" si="14"/>
        <v>1+0.0000713248934826808j</v>
      </c>
      <c r="T73" s="87" t="str">
        <f t="shared" si="15"/>
        <v>0.999874175920828+0.00341727051237711j</v>
      </c>
      <c r="U73" s="87" t="str">
        <f t="shared" si="16"/>
        <v>1.00011440169739-0.00334675766314265j</v>
      </c>
      <c r="V73" s="87" t="str">
        <f t="shared" si="17"/>
        <v>23.6480252618102-0.0791351565669198j</v>
      </c>
      <c r="X73" s="87" t="str">
        <f t="shared" si="18"/>
        <v>1.07824263565831+0.0465128858052689j</v>
      </c>
      <c r="Y73" s="87">
        <f t="shared" si="19"/>
        <v>0.66240411218324091</v>
      </c>
      <c r="Z73" s="87">
        <f t="shared" si="20"/>
        <v>-177.5299243915818</v>
      </c>
      <c r="AB73" s="87" t="str">
        <f t="shared" si="21"/>
        <v>8.98347984186609-0.0300620908482327j</v>
      </c>
      <c r="AC73" s="87">
        <f t="shared" si="22"/>
        <v>19.06894058545069</v>
      </c>
      <c r="AD73" s="87">
        <f t="shared" si="23"/>
        <v>179.80826756113268</v>
      </c>
      <c r="AF73" s="87" t="str">
        <f t="shared" si="24"/>
        <v>4.32014510968907-0.111153771476841j</v>
      </c>
      <c r="AG73" s="87">
        <f t="shared" si="25"/>
        <v>12.712840729109164</v>
      </c>
      <c r="AH73" s="87">
        <f t="shared" si="26"/>
        <v>178.52615200367603</v>
      </c>
      <c r="AJ73" s="87" t="str">
        <f t="shared" si="27"/>
        <v>157499.999964665-2.35907085141042j</v>
      </c>
      <c r="AK73" s="87" t="str">
        <f t="shared" si="28"/>
        <v>30000-8.55898721792169E-07j</v>
      </c>
      <c r="AL73" s="87" t="str">
        <f t="shared" si="43"/>
        <v>10000-23367250.6930749j</v>
      </c>
      <c r="AM73" s="87" t="str">
        <f t="shared" si="44"/>
        <v>963.139036199803-7251905.67176445j</v>
      </c>
      <c r="AN73" s="87" t="str">
        <f t="shared" si="45"/>
        <v>10963.1390361998-7251905.67176445j</v>
      </c>
      <c r="AO73" s="87" t="str">
        <f t="shared" si="46"/>
        <v>29999.2990006846-124.101350983982j</v>
      </c>
      <c r="AP73" s="87" t="str">
        <f t="shared" si="47"/>
        <v>0.160000000004825+2.01306995921736E-06j</v>
      </c>
      <c r="AQ73" s="87" t="str">
        <f t="shared" si="29"/>
        <v>1+0.13009660571241j</v>
      </c>
      <c r="AR73" s="87">
        <f t="shared" si="30"/>
        <v>9.9987627831273468E-8</v>
      </c>
      <c r="AS73" s="87" t="str">
        <f t="shared" si="31"/>
        <v>0.0000072406939666742j</v>
      </c>
      <c r="AT73" s="87" t="str">
        <f t="shared" si="32"/>
        <v>9.99876278312735E-08+0.0000072406939666742j</v>
      </c>
      <c r="AU73" s="87" t="str">
        <f t="shared" si="33"/>
        <v>5.96123626384482-41.350173271383j</v>
      </c>
      <c r="AW73" s="87" t="str">
        <f t="shared" si="48"/>
        <v>0.949506330209225-6.61664362273689j</v>
      </c>
      <c r="AX73" s="87">
        <f t="shared" si="34"/>
        <v>16.501280855407025</v>
      </c>
      <c r="AY73" s="87">
        <f t="shared" si="35"/>
        <v>98.166347913678905</v>
      </c>
      <c r="AZ73" s="87" t="str">
        <f t="shared" si="36"/>
        <v>8.33096083546172-59.4690287512284j</v>
      </c>
      <c r="BA73" s="87">
        <f t="shared" si="37"/>
        <v>35.570221440857715</v>
      </c>
      <c r="BB73" s="87">
        <f t="shared" si="38"/>
        <v>97.974615474811586</v>
      </c>
      <c r="BD73" s="87" t="str">
        <f t="shared" si="39"/>
        <v>3.3665402358868-28.690401798966j</v>
      </c>
      <c r="BE73" s="87">
        <f t="shared" si="40"/>
        <v>29.214121584516178</v>
      </c>
      <c r="BF73" s="87">
        <f t="shared" si="41"/>
        <v>96.692499917354951</v>
      </c>
      <c r="BH73" s="87">
        <f t="shared" si="49"/>
        <v>-28.214121584516178</v>
      </c>
      <c r="BI73" s="107">
        <f t="shared" si="50"/>
        <v>-96.692499917354951</v>
      </c>
      <c r="BJ73" s="91"/>
      <c r="BK73" s="91"/>
      <c r="BL73" s="91"/>
      <c r="BM73" s="91"/>
      <c r="BN73" s="42"/>
      <c r="BO73" s="42"/>
      <c r="BP73" s="42"/>
    </row>
    <row r="74" spans="1:68" s="87" customFormat="1">
      <c r="A74" s="87">
        <v>10</v>
      </c>
      <c r="B74" s="87">
        <f t="shared" si="42"/>
        <v>158.48931924611136</v>
      </c>
      <c r="C74" s="87" t="str">
        <f t="shared" si="0"/>
        <v>995.817762032062j</v>
      </c>
      <c r="D74" s="87">
        <f t="shared" si="1"/>
        <v>0.99999950382490244</v>
      </c>
      <c r="E74" s="87" t="str">
        <f t="shared" si="2"/>
        <v>-0.00110646418003562j</v>
      </c>
      <c r="F74" s="87" t="str">
        <f t="shared" si="3"/>
        <v>0.999999503824902-0.00110646418003562j</v>
      </c>
      <c r="G74" s="87">
        <f t="shared" si="4"/>
        <v>1.0071853840562123E-6</v>
      </c>
      <c r="H74" s="87">
        <f t="shared" si="5"/>
        <v>-6.339573328280762E-2</v>
      </c>
      <c r="J74" s="87">
        <f t="shared" si="6"/>
        <v>14.187192118226601</v>
      </c>
      <c r="K74" s="87" t="str">
        <f t="shared" si="7"/>
        <v>1+0.0498655744337555j</v>
      </c>
      <c r="L74" s="87">
        <f t="shared" si="8"/>
        <v>0.99986203664063755</v>
      </c>
      <c r="M74" s="87" t="str">
        <f t="shared" si="9"/>
        <v>0.0035783215099226j</v>
      </c>
      <c r="N74" s="87" t="str">
        <f t="shared" si="10"/>
        <v>0.999862036640638+0.0035783215099226j</v>
      </c>
      <c r="O74" s="87" t="str">
        <f t="shared" si="11"/>
        <v>1.00030365489085+0.0462925530251342j</v>
      </c>
      <c r="P74" s="87" t="str">
        <f t="shared" si="12"/>
        <v>14.1915001285007+0.656761343410771j</v>
      </c>
      <c r="R74" s="87">
        <f t="shared" si="13"/>
        <v>23.645320197044338</v>
      </c>
      <c r="S74" s="87" t="str">
        <f t="shared" si="14"/>
        <v>1+0.0000746863321524046j</v>
      </c>
      <c r="T74" s="87" t="str">
        <f t="shared" si="15"/>
        <v>0.999862036640638+0.0035783215099226j</v>
      </c>
      <c r="U74" s="87" t="str">
        <f t="shared" si="16"/>
        <v>1.00012544019608-0.00350456754503367j</v>
      </c>
      <c r="V74" s="87" t="str">
        <f t="shared" si="17"/>
        <v>23.6482862706462-0.0828666217544907j</v>
      </c>
      <c r="X74" s="87" t="str">
        <f t="shared" si="18"/>
        <v>1.07827625184774+0.0487054392507278j</v>
      </c>
      <c r="Y74" s="87">
        <f t="shared" si="19"/>
        <v>0.66345270648361387</v>
      </c>
      <c r="Z74" s="87">
        <f t="shared" si="20"/>
        <v>-177.41372350357969</v>
      </c>
      <c r="AB74" s="87" t="str">
        <f t="shared" si="21"/>
        <v>8.9835789946533-0.0314796105743852j</v>
      </c>
      <c r="AC74" s="87">
        <f t="shared" si="22"/>
        <v>19.069041146450651</v>
      </c>
      <c r="AD74" s="87">
        <f t="shared" si="23"/>
        <v>179.79922907724492</v>
      </c>
      <c r="AF74" s="87" t="str">
        <f t="shared" si="24"/>
        <v>4.31988306428042-0.116385592395088j</v>
      </c>
      <c r="AG74" s="87">
        <f t="shared" si="25"/>
        <v>12.712591057486096</v>
      </c>
      <c r="AH74" s="87">
        <f t="shared" si="26"/>
        <v>178.45671968542592</v>
      </c>
      <c r="AJ74" s="87" t="str">
        <f t="shared" si="27"/>
        <v>157499.999961256-2.47025043533313j</v>
      </c>
      <c r="AK74" s="87" t="str">
        <f t="shared" si="28"/>
        <v>30000-8.96235985828857E-07j</v>
      </c>
      <c r="AL74" s="87" t="str">
        <f t="shared" si="43"/>
        <v>10000-22315551.1675908j</v>
      </c>
      <c r="AM74" s="87" t="str">
        <f t="shared" si="44"/>
        <v>963.139028105732-6925516.17725227j</v>
      </c>
      <c r="AN74" s="87" t="str">
        <f t="shared" si="45"/>
        <v>10963.1390281057-6925516.17725227j</v>
      </c>
      <c r="AO74" s="87" t="str">
        <f t="shared" si="46"/>
        <v>29999.2313719071-129.949666963946j</v>
      </c>
      <c r="AP74" s="87" t="str">
        <f t="shared" si="47"/>
        <v>0.16000000000529+2.10794302351899E-06j</v>
      </c>
      <c r="AQ74" s="87" t="str">
        <f t="shared" si="29"/>
        <v>1+0.136227869845986j</v>
      </c>
      <c r="AR74" s="87">
        <f t="shared" si="30"/>
        <v>9.9986434186752347E-8</v>
      </c>
      <c r="AS74" s="87" t="str">
        <f t="shared" si="31"/>
        <v>7.58193736020447E-06j</v>
      </c>
      <c r="AT74" s="87" t="str">
        <f t="shared" si="32"/>
        <v>9.99864341867523E-08+7.58193736020447E-06j</v>
      </c>
      <c r="AU74" s="87" t="str">
        <f t="shared" si="33"/>
        <v>5.91099614148831-39.4897723825626j</v>
      </c>
      <c r="AW74" s="87" t="str">
        <f t="shared" si="48"/>
        <v>0.941467804456575-6.31900304755629j</v>
      </c>
      <c r="AX74" s="87">
        <f t="shared" si="34"/>
        <v>16.108321558599872</v>
      </c>
      <c r="AY74" s="87">
        <f t="shared" si="35"/>
        <v>98.474157822703106</v>
      </c>
      <c r="AZ74" s="87" t="str">
        <f t="shared" si="36"/>
        <v>8.25883063710302-56.7969000850295j</v>
      </c>
      <c r="BA74" s="87">
        <f t="shared" si="37"/>
        <v>35.177362705050527</v>
      </c>
      <c r="BB74" s="87">
        <f t="shared" si="38"/>
        <v>98.273386899948008</v>
      </c>
      <c r="BD74" s="87" t="str">
        <f t="shared" si="39"/>
        <v>3.33158991100102-27.4069275364174j</v>
      </c>
      <c r="BE74" s="87">
        <f t="shared" si="40"/>
        <v>28.820912616085984</v>
      </c>
      <c r="BF74" s="87">
        <f t="shared" si="41"/>
        <v>96.930877508129001</v>
      </c>
      <c r="BH74" s="87">
        <f t="shared" si="49"/>
        <v>-27.820912616085984</v>
      </c>
      <c r="BI74" s="107">
        <f t="shared" si="50"/>
        <v>-96.930877508129001</v>
      </c>
      <c r="BJ74" s="91"/>
      <c r="BK74" s="91"/>
      <c r="BL74" s="91"/>
      <c r="BM74" s="91"/>
      <c r="BN74" s="42"/>
      <c r="BO74" s="42"/>
      <c r="BP74" s="42"/>
    </row>
    <row r="75" spans="1:68" s="87" customFormat="1">
      <c r="A75" s="87">
        <v>11</v>
      </c>
      <c r="B75" s="87">
        <f t="shared" si="42"/>
        <v>165.95869074375605</v>
      </c>
      <c r="C75" s="87" t="str">
        <f t="shared" si="0"/>
        <v>1042.74920727993j</v>
      </c>
      <c r="D75" s="87">
        <f t="shared" si="1"/>
        <v>0.99999945595482398</v>
      </c>
      <c r="E75" s="87" t="str">
        <f t="shared" si="2"/>
        <v>-0.00115861023031103j</v>
      </c>
      <c r="F75" s="87" t="str">
        <f t="shared" si="3"/>
        <v>0.999999455954824-0.00115861023031103j</v>
      </c>
      <c r="G75" s="87">
        <f t="shared" si="4"/>
        <v>1.1043569152449671E-6</v>
      </c>
      <c r="H75" s="87">
        <f t="shared" si="5"/>
        <v>-6.6383482709208796E-2</v>
      </c>
      <c r="J75" s="87">
        <f t="shared" si="6"/>
        <v>14.187192118226601</v>
      </c>
      <c r="K75" s="87" t="str">
        <f t="shared" si="7"/>
        <v>1+0.0522156665545425j</v>
      </c>
      <c r="L75" s="87">
        <f t="shared" si="8"/>
        <v>0.99984872618459242</v>
      </c>
      <c r="M75" s="87" t="str">
        <f t="shared" si="9"/>
        <v>0.00374696260714456j</v>
      </c>
      <c r="N75" s="87" t="str">
        <f t="shared" si="10"/>
        <v>0.999848726184592+0.00374696260714456j</v>
      </c>
      <c r="O75" s="87" t="str">
        <f t="shared" si="11"/>
        <v>1.00033295740617+0.048474789334781j</v>
      </c>
      <c r="P75" s="87" t="str">
        <f t="shared" si="12"/>
        <v>14.1919158489151+0.6877211491831j</v>
      </c>
      <c r="R75" s="87">
        <f t="shared" si="13"/>
        <v>23.645320197044338</v>
      </c>
      <c r="S75" s="87" t="str">
        <f t="shared" si="14"/>
        <v>1+0.0000782061905459947j</v>
      </c>
      <c r="T75" s="87" t="str">
        <f t="shared" si="15"/>
        <v>0.999848726184592+0.00374696260714456j</v>
      </c>
      <c r="U75" s="87" t="str">
        <f t="shared" si="16"/>
        <v>1.00013754391789-0.00366982693723843j</v>
      </c>
      <c r="V75" s="87" t="str">
        <f t="shared" si="17"/>
        <v>23.648572467024-0.0867742329987412j</v>
      </c>
      <c r="X75" s="87" t="str">
        <f t="shared" si="18"/>
        <v>1.078313112544+0.0510013940009287j</v>
      </c>
      <c r="Y75" s="87">
        <f t="shared" si="19"/>
        <v>0.66460223071301072</v>
      </c>
      <c r="Z75" s="87">
        <f t="shared" si="20"/>
        <v>-177.2920773112794</v>
      </c>
      <c r="AB75" s="87" t="str">
        <f t="shared" si="21"/>
        <v>8.98368771575632-0.0329640451710982j</v>
      </c>
      <c r="AC75" s="87">
        <f t="shared" si="22"/>
        <v>19.069151410599257</v>
      </c>
      <c r="AD75" s="87">
        <f t="shared" si="23"/>
        <v>179.78976426525861</v>
      </c>
      <c r="AF75" s="87" t="str">
        <f t="shared" si="24"/>
        <v>4.31959577177261-0.121862990481737j</v>
      </c>
      <c r="AG75" s="87">
        <f t="shared" si="25"/>
        <v>12.712317314433738</v>
      </c>
      <c r="AH75" s="87">
        <f t="shared" si="26"/>
        <v>178.38401926849355</v>
      </c>
      <c r="AJ75" s="87" t="str">
        <f t="shared" si="27"/>
        <v>157499.999957518-2.58666975161109j</v>
      </c>
      <c r="AK75" s="87" t="str">
        <f t="shared" si="28"/>
        <v>30000-9.38474286551937E-07j</v>
      </c>
      <c r="AL75" s="87" t="str">
        <f t="shared" si="43"/>
        <v>10000-21311185.9180312j</v>
      </c>
      <c r="AM75" s="87" t="str">
        <f t="shared" si="44"/>
        <v>963.139019230762-6613816.63107217j</v>
      </c>
      <c r="AN75" s="87" t="str">
        <f t="shared" si="45"/>
        <v>10963.1390192308-6613816.63107217j</v>
      </c>
      <c r="AO75" s="87" t="str">
        <f t="shared" si="46"/>
        <v>29999.1572189069-136.073546251583j</v>
      </c>
      <c r="AP75" s="87" t="str">
        <f t="shared" si="47"/>
        <v>0.160000000005801+2.20728731759012E-06j</v>
      </c>
      <c r="AQ75" s="87" t="str">
        <f t="shared" si="29"/>
        <v>1+0.142648091555894j</v>
      </c>
      <c r="AR75" s="87">
        <f t="shared" si="30"/>
        <v>9.9985125381561008E-8</v>
      </c>
      <c r="AS75" s="87" t="str">
        <f t="shared" si="31"/>
        <v>7.93926305940379E-06j</v>
      </c>
      <c r="AT75" s="87" t="str">
        <f t="shared" si="32"/>
        <v>9.9985125381561E-08+7.93926305940379E-06j</v>
      </c>
      <c r="AU75" s="87" t="str">
        <f t="shared" si="33"/>
        <v>5.86517513524836-37.7130178819395j</v>
      </c>
      <c r="AW75" s="87" t="str">
        <f t="shared" si="48"/>
        <v>0.93413634031945-6.03474725070949j</v>
      </c>
      <c r="AX75" s="87">
        <f t="shared" si="34"/>
        <v>15.716015266517447</v>
      </c>
      <c r="AY75" s="87">
        <f t="shared" si="35"/>
        <v>98.799147956808795</v>
      </c>
      <c r="AZ75" s="87" t="str">
        <f t="shared" si="36"/>
        <v>8.19305948440086-54.2450776564113j</v>
      </c>
      <c r="BA75" s="87">
        <f t="shared" si="37"/>
        <v>34.785166677116706</v>
      </c>
      <c r="BB75" s="87">
        <f t="shared" si="38"/>
        <v>98.588912222067407</v>
      </c>
      <c r="BD75" s="87" t="str">
        <f t="shared" si="39"/>
        <v>3.29967903913014-26.1815053558301j</v>
      </c>
      <c r="BE75" s="87">
        <f t="shared" si="40"/>
        <v>28.428332580951189</v>
      </c>
      <c r="BF75" s="87">
        <f t="shared" si="41"/>
        <v>97.183167225302327</v>
      </c>
      <c r="BH75" s="87">
        <f t="shared" si="49"/>
        <v>-27.428332580951189</v>
      </c>
      <c r="BI75" s="107">
        <f t="shared" si="50"/>
        <v>-97.183167225302327</v>
      </c>
      <c r="BJ75" s="91"/>
      <c r="BK75" s="91"/>
      <c r="BL75" s="91"/>
      <c r="BM75" s="91"/>
      <c r="BN75" s="42"/>
      <c r="BO75" s="42"/>
      <c r="BP75" s="42"/>
    </row>
    <row r="76" spans="1:68" s="87" customFormat="1">
      <c r="A76" s="87">
        <v>12</v>
      </c>
      <c r="B76" s="87">
        <f t="shared" si="42"/>
        <v>173.78008287493756</v>
      </c>
      <c r="C76" s="87" t="str">
        <f t="shared" si="0"/>
        <v>1091.89246340026j</v>
      </c>
      <c r="D76" s="87">
        <f t="shared" si="1"/>
        <v>0.99999940346632687</v>
      </c>
      <c r="E76" s="87" t="str">
        <f t="shared" si="2"/>
        <v>-0.00121321384822251j</v>
      </c>
      <c r="F76" s="87" t="str">
        <f t="shared" si="3"/>
        <v>0.999999403466327-0.00121321384822251j</v>
      </c>
      <c r="G76" s="87">
        <f t="shared" si="4"/>
        <v>1.2109034023073133E-6</v>
      </c>
      <c r="H76" s="87">
        <f t="shared" si="5"/>
        <v>-6.9512040511598511E-2</v>
      </c>
      <c r="J76" s="87">
        <f t="shared" si="6"/>
        <v>14.187192118226601</v>
      </c>
      <c r="K76" s="87" t="str">
        <f t="shared" si="7"/>
        <v>1+0.054676515104768j</v>
      </c>
      <c r="L76" s="87">
        <f t="shared" si="8"/>
        <v>0.9998341315597582</v>
      </c>
      <c r="M76" s="87" t="str">
        <f t="shared" si="9"/>
        <v>0.00392355151442029j</v>
      </c>
      <c r="N76" s="87" t="str">
        <f t="shared" si="10"/>
        <v>0.999834131559758+0.00392355151442029j</v>
      </c>
      <c r="O76" s="87" t="str">
        <f t="shared" si="11"/>
        <v>1.000365088278+0.050759950621518j</v>
      </c>
      <c r="P76" s="87" t="str">
        <f t="shared" si="12"/>
        <v>14.1923716957667+0.720141171379172j</v>
      </c>
      <c r="R76" s="87">
        <f t="shared" si="13"/>
        <v>23.645320197044338</v>
      </c>
      <c r="S76" s="87" t="str">
        <f t="shared" si="14"/>
        <v>1+0.0000818919347550195j</v>
      </c>
      <c r="T76" s="87" t="str">
        <f t="shared" si="15"/>
        <v>0.999834131559758+0.00392355151442029j</v>
      </c>
      <c r="U76" s="87" t="str">
        <f t="shared" si="16"/>
        <v>1.00015081568392-0.00384288872672944j</v>
      </c>
      <c r="V76" s="87" t="str">
        <f t="shared" si="17"/>
        <v>23.6488862821814-0.0908663344251296j</v>
      </c>
      <c r="X76" s="87" t="str">
        <f t="shared" si="18"/>
        <v>1.07835353102971+0.0534056334999673j</v>
      </c>
      <c r="Y76" s="87">
        <f t="shared" si="19"/>
        <v>0.66586237469880627</v>
      </c>
      <c r="Z76" s="87">
        <f t="shared" si="20"/>
        <v>-177.16473377234706</v>
      </c>
      <c r="AB76" s="87" t="str">
        <f t="shared" si="21"/>
        <v>8.98380692876076-0.0345185644287462j</v>
      </c>
      <c r="AC76" s="87">
        <f t="shared" si="22"/>
        <v>19.069272314282387</v>
      </c>
      <c r="AD76" s="87">
        <f t="shared" si="23"/>
        <v>179.77985297997097</v>
      </c>
      <c r="AF76" s="87" t="str">
        <f t="shared" si="24"/>
        <v>4.31928080335526-0.127597392857794j</v>
      </c>
      <c r="AG76" s="87">
        <f t="shared" si="25"/>
        <v>12.712017180906372</v>
      </c>
      <c r="AH76" s="87">
        <f t="shared" si="26"/>
        <v>178.30789734572795</v>
      </c>
      <c r="AJ76" s="87" t="str">
        <f t="shared" si="27"/>
        <v>157499.99995342-2.70857574122122j</v>
      </c>
      <c r="AK76" s="87" t="str">
        <f t="shared" si="28"/>
        <v>30000-9.82703217060234E-07j</v>
      </c>
      <c r="AL76" s="87" t="str">
        <f t="shared" si="43"/>
        <v>10000-20352024.5510442j</v>
      </c>
      <c r="AM76" s="87" t="str">
        <f t="shared" si="44"/>
        <v>963.139009499554-6316145.87669641j</v>
      </c>
      <c r="AN76" s="87" t="str">
        <f t="shared" si="45"/>
        <v>10963.1390094996-6316145.87669641j</v>
      </c>
      <c r="AO76" s="87" t="str">
        <f t="shared" si="46"/>
        <v>29999.0759123358-142.485966955853j</v>
      </c>
      <c r="AP76" s="87" t="str">
        <f t="shared" si="47"/>
        <v>0.16000000000636+2.31131356399776E-06j</v>
      </c>
      <c r="AQ76" s="87" t="str">
        <f t="shared" si="29"/>
        <v>1+0.149370888993156j</v>
      </c>
      <c r="AR76" s="87">
        <f t="shared" si="30"/>
        <v>9.9983690305205695E-8</v>
      </c>
      <c r="AS76" s="87" t="str">
        <f t="shared" si="31"/>
        <v>8.31342899998763E-06j</v>
      </c>
      <c r="AT76" s="87" t="str">
        <f t="shared" si="32"/>
        <v>9.99836903052057E-08+8.31342899998763E-06j</v>
      </c>
      <c r="AU76" s="87" t="str">
        <f t="shared" si="33"/>
        <v>5.82338465807154-36.0161560906173j</v>
      </c>
      <c r="AW76" s="87" t="str">
        <f t="shared" si="48"/>
        <v>0.927449762994299-5.76327569645948j</v>
      </c>
      <c r="AX76" s="87">
        <f t="shared" si="34"/>
        <v>15.32442362195348</v>
      </c>
      <c r="AY76" s="87">
        <f t="shared" si="35"/>
        <v>99.141893028605821</v>
      </c>
      <c r="AZ76" s="87" t="str">
        <f t="shared" si="36"/>
        <v>8.13308960341685-51.8081703686095j</v>
      </c>
      <c r="BA76" s="87">
        <f t="shared" si="37"/>
        <v>34.393695936235865</v>
      </c>
      <c r="BB76" s="87">
        <f t="shared" si="38"/>
        <v>98.921746008576818</v>
      </c>
      <c r="BD76" s="87" t="str">
        <f t="shared" si="39"/>
        <v>3.27053700418875-25.011546251926j</v>
      </c>
      <c r="BE76" s="87">
        <f t="shared" si="40"/>
        <v>28.03644080285985</v>
      </c>
      <c r="BF76" s="87">
        <f t="shared" si="41"/>
        <v>97.449790374333801</v>
      </c>
      <c r="BH76" s="87">
        <f t="shared" si="49"/>
        <v>-27.03644080285985</v>
      </c>
      <c r="BI76" s="107">
        <f t="shared" si="50"/>
        <v>-97.449790374333801</v>
      </c>
      <c r="BJ76" s="91"/>
      <c r="BK76" s="91"/>
      <c r="BL76" s="91"/>
      <c r="BM76" s="91"/>
      <c r="BN76" s="42"/>
      <c r="BO76" s="42"/>
      <c r="BP76" s="42"/>
    </row>
    <row r="77" spans="1:68" s="87" customFormat="1">
      <c r="A77" s="87">
        <v>13</v>
      </c>
      <c r="B77" s="87">
        <f t="shared" si="42"/>
        <v>181.97008586099835</v>
      </c>
      <c r="C77" s="87" t="str">
        <f t="shared" si="0"/>
        <v>1143.35176982803j</v>
      </c>
      <c r="D77" s="87">
        <f t="shared" si="1"/>
        <v>0.9999993459138341</v>
      </c>
      <c r="E77" s="87" t="str">
        <f t="shared" si="2"/>
        <v>-0.00127039085536448j</v>
      </c>
      <c r="F77" s="87" t="str">
        <f t="shared" si="3"/>
        <v>0.999999345913834-0.00127039085536448j</v>
      </c>
      <c r="G77" s="87">
        <f t="shared" si="4"/>
        <v>1.3277293222067106E-6</v>
      </c>
      <c r="H77" s="87">
        <f t="shared" si="5"/>
        <v>-7.2788042796673266E-2</v>
      </c>
      <c r="J77" s="87">
        <f t="shared" si="6"/>
        <v>14.187192118226601</v>
      </c>
      <c r="K77" s="87" t="str">
        <f t="shared" si="7"/>
        <v>1+0.0572533398741386j</v>
      </c>
      <c r="L77" s="87">
        <f t="shared" si="8"/>
        <v>0.99981812887184662</v>
      </c>
      <c r="M77" s="87" t="str">
        <f t="shared" si="9"/>
        <v>0.00410846280049781j</v>
      </c>
      <c r="N77" s="87" t="str">
        <f t="shared" si="10"/>
        <v>0.999818128871847+0.00410846280049781j</v>
      </c>
      <c r="O77" s="87" t="str">
        <f t="shared" si="11"/>
        <v>1.00040032064463+0.0531528993489332j</v>
      </c>
      <c r="P77" s="87" t="str">
        <f t="shared" si="12"/>
        <v>14.1928715441209+0.754090394704077j</v>
      </c>
      <c r="R77" s="87">
        <f t="shared" si="13"/>
        <v>23.645320197044338</v>
      </c>
      <c r="S77" s="87" t="str">
        <f t="shared" si="14"/>
        <v>1+0.0000857513827371023j</v>
      </c>
      <c r="T77" s="87" t="str">
        <f t="shared" si="15"/>
        <v>0.999818128871847+0.00410846280049781j</v>
      </c>
      <c r="U77" s="87" t="str">
        <f t="shared" si="16"/>
        <v>1.00016536824545-0.00402412269878057j</v>
      </c>
      <c r="V77" s="87" t="str">
        <f t="shared" si="17"/>
        <v>23.6492303821584-0.0951516697248608j</v>
      </c>
      <c r="X77" s="87" t="str">
        <f t="shared" si="18"/>
        <v>1.07839785086473+0.0559232728667759j</v>
      </c>
      <c r="Y77" s="87">
        <f t="shared" si="19"/>
        <v>0.66724375351889187</v>
      </c>
      <c r="Z77" s="87">
        <f t="shared" si="20"/>
        <v>-177.03142964127377</v>
      </c>
      <c r="AB77" s="87" t="str">
        <f t="shared" si="21"/>
        <v>8.98393764644957-0.0361464899258888j</v>
      </c>
      <c r="AC77" s="87">
        <f t="shared" si="22"/>
        <v>19.069404884276075</v>
      </c>
      <c r="AD77" s="87">
        <f t="shared" si="23"/>
        <v>179.76947411891163</v>
      </c>
      <c r="AF77" s="87" t="str">
        <f t="shared" si="24"/>
        <v>4.31893549730096-0.133600743534221j</v>
      </c>
      <c r="AG77" s="87">
        <f t="shared" si="25"/>
        <v>12.711688114792235</v>
      </c>
      <c r="AH77" s="87">
        <f t="shared" si="26"/>
        <v>178.22819337087293</v>
      </c>
      <c r="AJ77" s="87" t="str">
        <f t="shared" si="27"/>
        <v>157499.999948926-2.83622698310993j</v>
      </c>
      <c r="AK77" s="87" t="str">
        <f t="shared" si="28"/>
        <v>30000-1.02901659284523E-06j</v>
      </c>
      <c r="AL77" s="87" t="str">
        <f t="shared" si="43"/>
        <v>9999.99999999998-19436032.5567735j</v>
      </c>
      <c r="AM77" s="87" t="str">
        <f t="shared" si="44"/>
        <v>963.138998829491-6031872.51454558j</v>
      </c>
      <c r="AN77" s="87" t="str">
        <f t="shared" si="45"/>
        <v>10963.1389988295-6031872.51454558j</v>
      </c>
      <c r="AO77" s="87" t="str">
        <f t="shared" si="46"/>
        <v>29998.9867621468-149.200517523127j</v>
      </c>
      <c r="AP77" s="87" t="str">
        <f t="shared" si="47"/>
        <v>0.160000000006973+2.42024241635754E-06j</v>
      </c>
      <c r="AQ77" s="87" t="str">
        <f t="shared" si="29"/>
        <v>1+0.156410522112474j</v>
      </c>
      <c r="AR77" s="87">
        <f t="shared" si="30"/>
        <v>9.9982116775272288E-8</v>
      </c>
      <c r="AS77" s="87" t="str">
        <f t="shared" si="31"/>
        <v>8.70522883808126E-06j</v>
      </c>
      <c r="AT77" s="87" t="str">
        <f t="shared" si="32"/>
        <v>9.99821167752723E-08+8.70522883808126E-06j</v>
      </c>
      <c r="AU77" s="87" t="str">
        <f t="shared" si="33"/>
        <v>5.78527027276764-34.3956008510865j</v>
      </c>
      <c r="AW77" s="87" t="str">
        <f t="shared" si="48"/>
        <v>0.921351361673962-5.5040146554773j</v>
      </c>
      <c r="AX77" s="87">
        <f t="shared" si="34"/>
        <v>14.933613613924868</v>
      </c>
      <c r="AY77" s="87">
        <f t="shared" si="35"/>
        <v>99.502989128094143</v>
      </c>
      <c r="AZ77" s="87" t="str">
        <f t="shared" si="36"/>
        <v>8.07841237345412-49.4810280876656j</v>
      </c>
      <c r="BA77" s="87">
        <f t="shared" si="37"/>
        <v>34.003018498200937</v>
      </c>
      <c r="BB77" s="87">
        <f t="shared" si="38"/>
        <v>99.27246324700576</v>
      </c>
      <c r="BD77" s="87" t="str">
        <f t="shared" si="39"/>
        <v>3.24391665102523-23.8945775001815j</v>
      </c>
      <c r="BE77" s="87">
        <f t="shared" si="40"/>
        <v>27.64530172871709</v>
      </c>
      <c r="BF77" s="87">
        <f t="shared" si="41"/>
        <v>97.731182498967087</v>
      </c>
      <c r="BH77" s="87">
        <f t="shared" si="49"/>
        <v>-26.64530172871709</v>
      </c>
      <c r="BI77" s="107">
        <f t="shared" si="50"/>
        <v>-97.731182498967087</v>
      </c>
      <c r="BJ77" s="91"/>
      <c r="BK77" s="91"/>
      <c r="BL77" s="91"/>
      <c r="BM77" s="91"/>
      <c r="BN77" s="42"/>
      <c r="BO77" s="42"/>
      <c r="BP77" s="42"/>
    </row>
    <row r="78" spans="1:68" s="87" customFormat="1">
      <c r="A78" s="87">
        <v>14</v>
      </c>
      <c r="B78" s="87">
        <f t="shared" si="42"/>
        <v>190.54607179632475</v>
      </c>
      <c r="C78" s="87" t="str">
        <f t="shared" si="0"/>
        <v>1197.23627865145j</v>
      </c>
      <c r="D78" s="87">
        <f t="shared" si="1"/>
        <v>0.9999992828087807</v>
      </c>
      <c r="E78" s="87" t="str">
        <f t="shared" si="2"/>
        <v>-0.00133026253183494j</v>
      </c>
      <c r="F78" s="87" t="str">
        <f t="shared" si="3"/>
        <v>0.999999282808781-0.00133026253183494j</v>
      </c>
      <c r="G78" s="87">
        <f t="shared" si="4"/>
        <v>1.4558264311592239E-6</v>
      </c>
      <c r="H78" s="87">
        <f t="shared" si="5"/>
        <v>-7.6218438423037466E-2</v>
      </c>
      <c r="J78" s="87">
        <f t="shared" si="6"/>
        <v>14.187192118226601</v>
      </c>
      <c r="K78" s="87" t="str">
        <f t="shared" si="7"/>
        <v>1+0.0599516066534714j</v>
      </c>
      <c r="L78" s="87">
        <f t="shared" si="8"/>
        <v>0.99980058227347179</v>
      </c>
      <c r="M78" s="87" t="str">
        <f t="shared" si="9"/>
        <v>0.0043020886870064j</v>
      </c>
      <c r="N78" s="87" t="str">
        <f t="shared" si="10"/>
        <v>0.999800582273472+0.0043020886870064j</v>
      </c>
      <c r="O78" s="87" t="str">
        <f t="shared" si="11"/>
        <v>1.00043895404961+0.0556587288843896j</v>
      </c>
      <c r="P78" s="87" t="str">
        <f t="shared" si="12"/>
        <v>14.1934196436595+0.789641079739123j</v>
      </c>
      <c r="R78" s="87">
        <f t="shared" si="13"/>
        <v>23.645320197044338</v>
      </c>
      <c r="S78" s="87" t="str">
        <f t="shared" si="14"/>
        <v>1+0.0000897927208988587j</v>
      </c>
      <c r="T78" s="87" t="str">
        <f t="shared" si="15"/>
        <v>0.999800582273472+0.0043020886870064j</v>
      </c>
      <c r="U78" s="87" t="str">
        <f t="shared" si="16"/>
        <v>1.00018132524404-0.00421391637301148j</v>
      </c>
      <c r="V78" s="87" t="str">
        <f t="shared" si="17"/>
        <v>23.6496076904995-0.0996394019234242j</v>
      </c>
      <c r="X78" s="87" t="str">
        <f t="shared" si="18"/>
        <v>1.07844644881787+0.058559670039743j</v>
      </c>
      <c r="Y78" s="87">
        <f t="shared" si="19"/>
        <v>0.66875799483915188</v>
      </c>
      <c r="Z78" s="87">
        <f t="shared" si="20"/>
        <v>-176.8918900402991</v>
      </c>
      <c r="AB78" s="87" t="str">
        <f t="shared" si="21"/>
        <v>8.98408097942722-0.0378513025389992j</v>
      </c>
      <c r="AC78" s="87">
        <f t="shared" si="22"/>
        <v>19.069550246477259</v>
      </c>
      <c r="AD78" s="87">
        <f t="shared" si="23"/>
        <v>179.75860557606333</v>
      </c>
      <c r="AF78" s="87" t="str">
        <f t="shared" si="24"/>
        <v>4.31855693677822-0.13988552458012j</v>
      </c>
      <c r="AG78" s="87">
        <f t="shared" si="25"/>
        <v>12.711327329527911</v>
      </c>
      <c r="AH78" s="87">
        <f t="shared" si="26"/>
        <v>178.14473933551616</v>
      </c>
      <c r="AJ78" s="87" t="str">
        <f t="shared" si="27"/>
        <v>157499.999943998-2.96989424267375j</v>
      </c>
      <c r="AK78" s="87" t="str">
        <f t="shared" si="28"/>
        <v>30000-0.0000010775126507863j</v>
      </c>
      <c r="AL78" s="87" t="str">
        <f t="shared" si="43"/>
        <v>10000-18561266.99339j</v>
      </c>
      <c r="AM78" s="87" t="str">
        <f t="shared" si="44"/>
        <v>963.138987130005-5760393.56270533j</v>
      </c>
      <c r="AN78" s="87" t="str">
        <f t="shared" si="45"/>
        <v>10963.13898713-5760393.56270533j</v>
      </c>
      <c r="AO78" s="87" t="str">
        <f t="shared" si="46"/>
        <v>29998.889011742-156.231425308664j</v>
      </c>
      <c r="AP78" s="87" t="str">
        <f t="shared" si="47"/>
        <v>0.160000000007646+2.53430492736964E-06j</v>
      </c>
      <c r="AQ78" s="87" t="str">
        <f t="shared" si="29"/>
        <v>1+0.163781922919518j</v>
      </c>
      <c r="AR78" s="87">
        <f t="shared" si="30"/>
        <v>9.9980391434009347E-8</v>
      </c>
      <c r="AS78" s="87" t="str">
        <f t="shared" si="31"/>
        <v>9.11549363367084E-06j</v>
      </c>
      <c r="AT78" s="87" t="str">
        <f t="shared" si="32"/>
        <v>9.99803914340093E-08+9.11549363367084E-06j</v>
      </c>
      <c r="AU78" s="87" t="str">
        <f t="shared" si="33"/>
        <v>5.75050869418518-32.8479261708651j</v>
      </c>
      <c r="AW78" s="87" t="str">
        <f t="shared" si="48"/>
        <v>0.915789409888479-5.25641602794325j</v>
      </c>
      <c r="AX78" s="87">
        <f t="shared" si="34"/>
        <v>14.543658007284545</v>
      </c>
      <c r="AY78" s="87">
        <f t="shared" si="35"/>
        <v>99.883052759248486</v>
      </c>
      <c r="AZ78" s="87" t="str">
        <f t="shared" si="36"/>
        <v>8.02856402519544-47.258731078617j</v>
      </c>
      <c r="BA78" s="87">
        <f t="shared" si="37"/>
        <v>33.613208253761798</v>
      </c>
      <c r="BB78" s="87">
        <f t="shared" si="38"/>
        <v>99.641658335311831</v>
      </c>
      <c r="BD78" s="87" t="str">
        <f t="shared" si="39"/>
        <v>3.21959219522173-22.8282375820737j</v>
      </c>
      <c r="BE78" s="87">
        <f t="shared" si="40"/>
        <v>27.25498533681245</v>
      </c>
      <c r="BF78" s="87">
        <f t="shared" si="41"/>
        <v>98.027792094764635</v>
      </c>
      <c r="BH78" s="87">
        <f t="shared" si="49"/>
        <v>-26.25498533681245</v>
      </c>
      <c r="BI78" s="107">
        <f t="shared" si="50"/>
        <v>-98.027792094764635</v>
      </c>
      <c r="BJ78" s="91"/>
      <c r="BK78" s="91"/>
      <c r="BL78" s="91"/>
      <c r="BM78" s="91"/>
      <c r="BN78" s="42"/>
      <c r="BO78" s="42"/>
      <c r="BP78" s="42"/>
    </row>
    <row r="79" spans="1:68" s="87" customFormat="1">
      <c r="A79" s="87">
        <v>15</v>
      </c>
      <c r="B79" s="87">
        <f t="shared" si="42"/>
        <v>199.52623149688799</v>
      </c>
      <c r="C79" s="87" t="str">
        <f t="shared" si="0"/>
        <v>1253.66028613816j</v>
      </c>
      <c r="D79" s="87">
        <f t="shared" si="1"/>
        <v>0.99999921361546562</v>
      </c>
      <c r="E79" s="87" t="str">
        <f t="shared" si="2"/>
        <v>-0.00139295587348684j</v>
      </c>
      <c r="F79" s="87" t="str">
        <f t="shared" si="3"/>
        <v>0.999999213615466-0.00139295587348684j</v>
      </c>
      <c r="G79" s="87">
        <f t="shared" si="4"/>
        <v>1.5962821504054068E-6</v>
      </c>
      <c r="H79" s="87">
        <f t="shared" si="5"/>
        <v>-7.9810503741019986E-2</v>
      </c>
      <c r="J79" s="87">
        <f t="shared" si="6"/>
        <v>14.187192118226601</v>
      </c>
      <c r="K79" s="87" t="str">
        <f t="shared" si="7"/>
        <v>1+0.0627770388283684j</v>
      </c>
      <c r="L79" s="87">
        <f t="shared" si="8"/>
        <v>0.99978134281093733</v>
      </c>
      <c r="M79" s="87" t="str">
        <f t="shared" si="9"/>
        <v>0.00450483988041124j</v>
      </c>
      <c r="N79" s="87" t="str">
        <f t="shared" si="10"/>
        <v>0.999781342810937+0.00450483988041124j</v>
      </c>
      <c r="O79" s="87" t="str">
        <f t="shared" si="11"/>
        <v>1.00048131700002+0.0582827746396138j</v>
      </c>
      <c r="P79" s="87" t="str">
        <f t="shared" si="12"/>
        <v>14.1940206549757+0.826868920995506j</v>
      </c>
      <c r="R79" s="87">
        <f t="shared" si="13"/>
        <v>23.645320197044338</v>
      </c>
      <c r="S79" s="87" t="str">
        <f t="shared" si="14"/>
        <v>1+0.000094024521460362j</v>
      </c>
      <c r="T79" s="87" t="str">
        <f t="shared" si="15"/>
        <v>0.999781342810937+0.00450483988041124j</v>
      </c>
      <c r="U79" s="87" t="str">
        <f t="shared" si="16"/>
        <v>1.00019882226468-0.0044126758847231j</v>
      </c>
      <c r="V79" s="87" t="str">
        <f t="shared" si="17"/>
        <v>23.650021413155-0.104339134220054j</v>
      </c>
      <c r="X79" s="87" t="str">
        <f t="shared" si="18"/>
        <v>1.07849973808352+0.0613204374801006j</v>
      </c>
      <c r="Y79" s="87">
        <f t="shared" si="19"/>
        <v>0.6704178342907039</v>
      </c>
      <c r="Z79" s="87">
        <f t="shared" si="20"/>
        <v>-176.74582802447856</v>
      </c>
      <c r="AB79" s="87" t="str">
        <f t="shared" si="21"/>
        <v>8.98423814557935-0.0396366503590188j</v>
      </c>
      <c r="AC79" s="87">
        <f t="shared" si="22"/>
        <v>19.069709635478556</v>
      </c>
      <c r="AD79" s="87">
        <f t="shared" si="23"/>
        <v>179.74722419322885</v>
      </c>
      <c r="AF79" s="87" t="str">
        <f t="shared" si="24"/>
        <v>4.31814192558121-0.146464777819756j</v>
      </c>
      <c r="AG79" s="87">
        <f t="shared" si="25"/>
        <v>12.710931770676934</v>
      </c>
      <c r="AH79" s="87">
        <f t="shared" si="26"/>
        <v>178.05735943278933</v>
      </c>
      <c r="AJ79" s="87" t="str">
        <f t="shared" si="27"/>
        <v>157499.999938595-3.10986104608903j</v>
      </c>
      <c r="AK79" s="87" t="str">
        <f t="shared" si="28"/>
        <v>30000-1.12829425752434E-06j</v>
      </c>
      <c r="AL79" s="87" t="str">
        <f t="shared" si="43"/>
        <v>10000-17725872.3658518j</v>
      </c>
      <c r="AM79" s="87" t="str">
        <f t="shared" si="44"/>
        <v>963.138974301772-5501133.17792095j</v>
      </c>
      <c r="AN79" s="87" t="str">
        <f t="shared" si="45"/>
        <v>10963.1389743018-5501133.17792095j</v>
      </c>
      <c r="AO79" s="87" t="str">
        <f t="shared" si="46"/>
        <v>29998.7818315568-163.593586466052j</v>
      </c>
      <c r="AP79" s="87" t="str">
        <f t="shared" si="47"/>
        <v>0.160000000008384+2.65374303891251E-06j</v>
      </c>
      <c r="AQ79" s="87" t="str">
        <f t="shared" si="29"/>
        <v>1+0.1715007271437j</v>
      </c>
      <c r="AR79" s="87">
        <f t="shared" si="30"/>
        <v>9.9978499634933602E-8</v>
      </c>
      <c r="AS79" s="87" t="str">
        <f t="shared" si="31"/>
        <v>0.000009545093613393j</v>
      </c>
      <c r="AT79" s="87" t="str">
        <f t="shared" si="32"/>
        <v>9.99784996349336E-08+0.000009545093613393j</v>
      </c>
      <c r="AU79" s="87" t="str">
        <f t="shared" si="33"/>
        <v>5.71880505398649-31.3698591736032j</v>
      </c>
      <c r="AW79" s="87" t="str">
        <f t="shared" si="48"/>
        <v>0.910716727861925-5.01995621584904j</v>
      </c>
      <c r="AX79" s="87">
        <f t="shared" si="34"/>
        <v>14.154635795277947</v>
      </c>
      <c r="AY79" s="87">
        <f t="shared" si="35"/>
        <v>100.28271963372893</v>
      </c>
      <c r="AZ79" s="87" t="str">
        <f t="shared" si="36"/>
        <v>7.98312171692912-45.1365798840875j</v>
      </c>
      <c r="BA79" s="87">
        <f t="shared" si="37"/>
        <v>33.224345430756507</v>
      </c>
      <c r="BB79" s="87">
        <f t="shared" si="38"/>
        <v>100.02994382695778</v>
      </c>
      <c r="BD79" s="87" t="str">
        <f t="shared" si="39"/>
        <v>3.19735731308948-21.8102713234428j</v>
      </c>
      <c r="BE79" s="87">
        <f t="shared" si="40"/>
        <v>26.865567565954898</v>
      </c>
      <c r="BF79" s="87">
        <f t="shared" si="41"/>
        <v>98.340079066518229</v>
      </c>
      <c r="BH79" s="87">
        <f t="shared" si="49"/>
        <v>-25.865567565954898</v>
      </c>
      <c r="BI79" s="107">
        <f t="shared" si="50"/>
        <v>-98.340079066518229</v>
      </c>
      <c r="BJ79" s="91"/>
      <c r="BK79" s="91"/>
      <c r="BL79" s="91"/>
      <c r="BM79" s="91"/>
      <c r="BN79" s="42"/>
      <c r="BO79" s="42"/>
      <c r="BP79" s="42"/>
    </row>
    <row r="80" spans="1:68" s="87" customFormat="1">
      <c r="A80" s="87">
        <v>16</v>
      </c>
      <c r="B80" s="87">
        <f t="shared" si="42"/>
        <v>208.92961308540396</v>
      </c>
      <c r="C80" s="87" t="str">
        <f t="shared" si="0"/>
        <v>1312.74347517293j</v>
      </c>
      <c r="D80" s="87">
        <f t="shared" si="1"/>
        <v>0.99999913774650417</v>
      </c>
      <c r="E80" s="87" t="str">
        <f t="shared" si="2"/>
        <v>-0.00145860386130326j</v>
      </c>
      <c r="F80" s="87" t="str">
        <f t="shared" si="3"/>
        <v>0.999999137746504-0.00145860386130326j</v>
      </c>
      <c r="G80" s="87">
        <f t="shared" si="4"/>
        <v>1.7502888198729013E-6</v>
      </c>
      <c r="H80" s="87">
        <f t="shared" si="5"/>
        <v>-8.3571858027192705E-2</v>
      </c>
      <c r="J80" s="87">
        <f t="shared" si="6"/>
        <v>14.187192118226601</v>
      </c>
      <c r="K80" s="87" t="str">
        <f t="shared" si="7"/>
        <v>1+0.0657356295192845j</v>
      </c>
      <c r="L80" s="87">
        <f t="shared" si="8"/>
        <v>0.99976024715976286</v>
      </c>
      <c r="M80" s="87" t="str">
        <f t="shared" si="9"/>
        <v>0.00471714644317682j</v>
      </c>
      <c r="N80" s="87" t="str">
        <f t="shared" si="10"/>
        <v>0.999760247159763+0.00471714644317682j</v>
      </c>
      <c r="O80" s="87" t="str">
        <f t="shared" si="11"/>
        <v>1.00052776977384+0.0610306257746671j</v>
      </c>
      <c r="P80" s="87" t="str">
        <f t="shared" si="12"/>
        <v>14.1946796894023+0.865853212960794j</v>
      </c>
      <c r="R80" s="87">
        <f t="shared" si="13"/>
        <v>23.645320197044338</v>
      </c>
      <c r="S80" s="87" t="str">
        <f t="shared" si="14"/>
        <v>1+0.0000984557606379697j</v>
      </c>
      <c r="T80" s="87" t="str">
        <f t="shared" si="15"/>
        <v>0.999760247159763+0.00471714644317682j</v>
      </c>
      <c r="U80" s="87" t="str">
        <f t="shared" si="16"/>
        <v>1.00021800799103-0.00462082691453531j</v>
      </c>
      <c r="V80" s="87" t="str">
        <f t="shared" si="17"/>
        <v>23.6504750657978-0.109260931969308j</v>
      </c>
      <c r="X80" s="87" t="str">
        <f t="shared" si="18"/>
        <v>1.07855817181124+0.0642114544653965j</v>
      </c>
      <c r="Y80" s="87">
        <f t="shared" si="19"/>
        <v>0.67223721958677007</v>
      </c>
      <c r="Z80" s="87">
        <f t="shared" si="20"/>
        <v>-176.59294414267404</v>
      </c>
      <c r="AB80" s="87" t="str">
        <f t="shared" si="21"/>
        <v>8.98441048044988-0.0415063570417823j</v>
      </c>
      <c r="AC80" s="87">
        <f t="shared" si="22"/>
        <v>19.069884405069491</v>
      </c>
      <c r="AD80" s="87">
        <f t="shared" si="23"/>
        <v>179.73530570890711</v>
      </c>
      <c r="AF80" s="87" t="str">
        <f t="shared" si="24"/>
        <v>4.3176869615867-0.153352127014942j</v>
      </c>
      <c r="AG80" s="87">
        <f t="shared" si="25"/>
        <v>12.710498090281517</v>
      </c>
      <c r="AH80" s="87">
        <f t="shared" si="26"/>
        <v>177.9658697074843</v>
      </c>
      <c r="AJ80" s="87" t="str">
        <f t="shared" si="27"/>
        <v>157499.999932671-3.25642428170877j</v>
      </c>
      <c r="AK80" s="87" t="str">
        <f t="shared" si="28"/>
        <v>30000-1.18146912765564E-06j</v>
      </c>
      <c r="AL80" s="87" t="str">
        <f t="shared" si="43"/>
        <v>10000-16928076.6901507j</v>
      </c>
      <c r="AM80" s="87" t="str">
        <f t="shared" si="44"/>
        <v>963.138960235892-5253541.43415674j</v>
      </c>
      <c r="AN80" s="87" t="str">
        <f t="shared" si="45"/>
        <v>10963.1389602359-5253541.43415674j</v>
      </c>
      <c r="AO80" s="87" t="str">
        <f t="shared" si="46"/>
        <v>29998.6643120256-171.302597212512j</v>
      </c>
      <c r="AP80" s="87" t="str">
        <f t="shared" si="47"/>
        <v>0.160000000009193+2.77881009523396E-06j</v>
      </c>
      <c r="AQ80" s="87" t="str">
        <f t="shared" si="29"/>
        <v>1+0.179583307403657j</v>
      </c>
      <c r="AR80" s="87">
        <f t="shared" si="30"/>
        <v>9.9976425318495586E-8</v>
      </c>
      <c r="AS80" s="87" t="str">
        <f t="shared" si="31"/>
        <v>9.99494001640215E-06j</v>
      </c>
      <c r="AT80" s="87" t="str">
        <f t="shared" si="32"/>
        <v>9.99764253184956E-08+9.99494001640215E-06j</v>
      </c>
      <c r="AU80" s="87" t="str">
        <f t="shared" si="33"/>
        <v>5.68989040511538-29.9582733468598j</v>
      </c>
      <c r="AW80" s="87" t="str">
        <f t="shared" si="48"/>
        <v>0.906090283220113-4.79413504277426j</v>
      </c>
      <c r="AX80" s="87">
        <f t="shared" si="34"/>
        <v>13.766632674218823</v>
      </c>
      <c r="AY80" s="87">
        <f t="shared" si="35"/>
        <v>100.70264318736113</v>
      </c>
      <c r="AZ80" s="87" t="str">
        <f t="shared" si="36"/>
        <v>7.94169995600467-43.1100856298005j</v>
      </c>
      <c r="BA80" s="87">
        <f t="shared" si="37"/>
        <v>32.836517079288313</v>
      </c>
      <c r="BB80" s="87">
        <f t="shared" si="38"/>
        <v>100.43794889626825</v>
      </c>
      <c r="BD80" s="87" t="str">
        <f t="shared" si="39"/>
        <v>3.17702339587358-20.8385252384717j</v>
      </c>
      <c r="BE80" s="87">
        <f t="shared" si="40"/>
        <v>26.477130764500338</v>
      </c>
      <c r="BF80" s="87">
        <f t="shared" si="41"/>
        <v>98.668512894845421</v>
      </c>
      <c r="BH80" s="87">
        <f t="shared" si="49"/>
        <v>-25.477130764500338</v>
      </c>
      <c r="BI80" s="107">
        <f t="shared" si="50"/>
        <v>-98.668512894845421</v>
      </c>
      <c r="BJ80" s="91"/>
      <c r="BK80" s="91"/>
      <c r="BL80" s="91"/>
      <c r="BM80" s="91"/>
      <c r="BN80" s="42"/>
      <c r="BO80" s="42"/>
      <c r="BP80" s="42"/>
    </row>
    <row r="81" spans="1:68" s="87" customFormat="1">
      <c r="A81" s="87">
        <v>17</v>
      </c>
      <c r="B81" s="87">
        <f t="shared" si="42"/>
        <v>218.77616239495526</v>
      </c>
      <c r="C81" s="87" t="str">
        <f t="shared" si="0"/>
        <v>1374.61116912112j</v>
      </c>
      <c r="D81" s="87">
        <f t="shared" si="1"/>
        <v>0.99999905455784233</v>
      </c>
      <c r="E81" s="87" t="str">
        <f t="shared" si="2"/>
        <v>-0.00152734574346791j</v>
      </c>
      <c r="F81" s="87" t="str">
        <f t="shared" si="3"/>
        <v>0.999999054557842-0.00152734574346791j</v>
      </c>
      <c r="G81" s="87">
        <f t="shared" si="4"/>
        <v>1.9191538313008781E-6</v>
      </c>
      <c r="H81" s="87">
        <f t="shared" si="5"/>
        <v>-8.7510479646344869E-2</v>
      </c>
      <c r="J81" s="87">
        <f t="shared" si="6"/>
        <v>14.187192118226601</v>
      </c>
      <c r="K81" s="87" t="str">
        <f t="shared" si="7"/>
        <v>1+0.0688336542937401j</v>
      </c>
      <c r="L81" s="87">
        <f t="shared" si="8"/>
        <v>0.99973711623821659</v>
      </c>
      <c r="M81" s="87" t="str">
        <f t="shared" si="9"/>
        <v>0.0049394587059872j</v>
      </c>
      <c r="N81" s="87" t="str">
        <f t="shared" si="10"/>
        <v>0.999737116238217+0.0049394587059872j</v>
      </c>
      <c r="O81" s="87" t="str">
        <f t="shared" si="11"/>
        <v>1.00057870750073+0.0639081374975441j</v>
      </c>
      <c r="P81" s="87" t="str">
        <f t="shared" si="12"/>
        <v>14.1954023527197+0.9066770245957j</v>
      </c>
      <c r="R81" s="87">
        <f t="shared" si="13"/>
        <v>23.645320197044338</v>
      </c>
      <c r="S81" s="87" t="str">
        <f t="shared" si="14"/>
        <v>1+0.000103095837684084j</v>
      </c>
      <c r="T81" s="87" t="str">
        <f t="shared" si="15"/>
        <v>0.999737116238217+0.0049394587059872j</v>
      </c>
      <c r="U81" s="87" t="str">
        <f t="shared" si="16"/>
        <v>1.00023904547277-0.00483881566961052j</v>
      </c>
      <c r="V81" s="87" t="str">
        <f t="shared" si="17"/>
        <v>23.6509725037896-0.114415345882416j</v>
      </c>
      <c r="X81" s="87" t="str">
        <f t="shared" si="18"/>
        <v>1.07862224697896+0.0672388800065811j</v>
      </c>
      <c r="Y81" s="87">
        <f t="shared" si="19"/>
        <v>0.67423142413017145</v>
      </c>
      <c r="Z81" s="87">
        <f t="shared" si="20"/>
        <v>-176.43292599661493</v>
      </c>
      <c r="AB81" s="87" t="str">
        <f t="shared" si="21"/>
        <v>8.9845994486247-0.0434644306218126j</v>
      </c>
      <c r="AC81" s="87">
        <f t="shared" si="22"/>
        <v>19.070076039753843</v>
      </c>
      <c r="AD81" s="87">
        <f t="shared" si="23"/>
        <v>179.72282470453206</v>
      </c>
      <c r="AF81" s="87" t="str">
        <f t="shared" si="24"/>
        <v>4.31718820773286-0.160561800477433j</v>
      </c>
      <c r="AG81" s="87">
        <f t="shared" si="25"/>
        <v>12.710022618779387</v>
      </c>
      <c r="AH81" s="87">
        <f t="shared" si="26"/>
        <v>177.87007769227776</v>
      </c>
      <c r="AJ81" s="87" t="str">
        <f t="shared" si="27"/>
        <v>157499.999926175-3.40989482980276j</v>
      </c>
      <c r="AK81" s="87" t="str">
        <f t="shared" si="28"/>
        <v>30000-1.23715005220901E-06j</v>
      </c>
      <c r="AL81" s="87" t="str">
        <f t="shared" si="43"/>
        <v>10000-16166187.7346962j</v>
      </c>
      <c r="AM81" s="87" t="str">
        <f t="shared" si="44"/>
        <v>963.13894481297-5017093.15612895j</v>
      </c>
      <c r="AN81" s="87" t="str">
        <f t="shared" si="45"/>
        <v>10963.138944813-5017093.15612895j</v>
      </c>
      <c r="AO81" s="87" t="str">
        <f t="shared" si="46"/>
        <v>29998.5354558708-179.374786530053j</v>
      </c>
      <c r="AP81" s="87" t="str">
        <f t="shared" si="47"/>
        <v>0.16000000001008+2.90977138032844E-06j</v>
      </c>
      <c r="AQ81" s="87" t="str">
        <f t="shared" si="29"/>
        <v>1+0.188046807935769j</v>
      </c>
      <c r="AR81" s="87">
        <f t="shared" si="30"/>
        <v>9.9974150875749383E-8</v>
      </c>
      <c r="AS81" s="87" t="str">
        <f t="shared" si="31"/>
        <v>0.000010465987027231j</v>
      </c>
      <c r="AT81" s="87" t="str">
        <f t="shared" si="32"/>
        <v>9.99741508757494E-08+0.000010465987027231j</v>
      </c>
      <c r="AU81" s="87" t="str">
        <f t="shared" si="33"/>
        <v>5.6635194450309-28.6101820758454j</v>
      </c>
      <c r="AW81" s="87" t="str">
        <f t="shared" si="48"/>
        <v>0.901870826700831-4.57847471942454j</v>
      </c>
      <c r="AX81" s="87">
        <f t="shared" si="34"/>
        <v>13.379741538880348</v>
      </c>
      <c r="AY81" s="87">
        <f t="shared" si="35"/>
        <v>101.14349278211978</v>
      </c>
      <c r="AZ81" s="87" t="str">
        <f t="shared" si="36"/>
        <v>7.90394733551084-41.1749607416608j</v>
      </c>
      <c r="BA81" s="87">
        <f t="shared" si="37"/>
        <v>32.449817578634182</v>
      </c>
      <c r="BB81" s="87">
        <f t="shared" si="38"/>
        <v>100.86631748665184</v>
      </c>
      <c r="BD81" s="87" t="str">
        <f t="shared" si="39"/>
        <v>3.1584179535399-19.9109430718358j</v>
      </c>
      <c r="BE81" s="87">
        <f t="shared" si="40"/>
        <v>26.089764157659733</v>
      </c>
      <c r="BF81" s="87">
        <f t="shared" si="41"/>
        <v>99.013570474397554</v>
      </c>
      <c r="BH81" s="87">
        <f t="shared" si="49"/>
        <v>-25.089764157659733</v>
      </c>
      <c r="BI81" s="107">
        <f t="shared" si="50"/>
        <v>-99.013570474397554</v>
      </c>
      <c r="BJ81" s="91"/>
      <c r="BK81" s="91"/>
      <c r="BL81" s="91"/>
      <c r="BM81" s="91"/>
      <c r="BN81" s="42"/>
      <c r="BO81" s="42"/>
      <c r="BP81" s="42"/>
    </row>
    <row r="82" spans="1:68" s="87" customFormat="1">
      <c r="A82" s="87">
        <v>18</v>
      </c>
      <c r="B82" s="87">
        <f t="shared" si="42"/>
        <v>229.08676527677733</v>
      </c>
      <c r="C82" s="87" t="str">
        <f t="shared" si="0"/>
        <v>1439.39459765635j</v>
      </c>
      <c r="D82" s="87">
        <f t="shared" si="1"/>
        <v>0.99999896334328842</v>
      </c>
      <c r="E82" s="87" t="str">
        <f t="shared" si="2"/>
        <v>-0.00159932733072928j</v>
      </c>
      <c r="F82" s="87" t="str">
        <f t="shared" si="3"/>
        <v>0.999998963343288-0.00159932733072928j</v>
      </c>
      <c r="G82" s="87">
        <f t="shared" si="4"/>
        <v>2.1043106967563493E-6</v>
      </c>
      <c r="H82" s="87">
        <f t="shared" si="5"/>
        <v>-9.1634722975206001E-2</v>
      </c>
      <c r="J82" s="87">
        <f t="shared" si="6"/>
        <v>14.187192118226601</v>
      </c>
      <c r="K82" s="87" t="str">
        <f t="shared" si="7"/>
        <v>1+0.0720776844776417j</v>
      </c>
      <c r="L82" s="87">
        <f t="shared" si="8"/>
        <v>0.99971175368708443</v>
      </c>
      <c r="M82" s="87" t="str">
        <f t="shared" si="9"/>
        <v>0.00517224822295776j</v>
      </c>
      <c r="N82" s="87" t="str">
        <f t="shared" si="10"/>
        <v>0.999711753687084+0.00517224822295776j</v>
      </c>
      <c r="O82" s="87" t="str">
        <f t="shared" si="11"/>
        <v>1.00063456354329+0.0669214439940111j</v>
      </c>
      <c r="P82" s="87" t="str">
        <f t="shared" si="12"/>
        <v>14.1961947931265+0.949427382772177j</v>
      </c>
      <c r="R82" s="87">
        <f t="shared" si="13"/>
        <v>23.645320197044338</v>
      </c>
      <c r="S82" s="87" t="str">
        <f t="shared" si="14"/>
        <v>1+0.000107954594824226j</v>
      </c>
      <c r="T82" s="87" t="str">
        <f t="shared" si="15"/>
        <v>0.999711753687084+0.00517224822295776j</v>
      </c>
      <c r="U82" s="87" t="str">
        <f t="shared" si="16"/>
        <v>1.00026211351589-0.00506710992005191j</v>
      </c>
      <c r="V82" s="87" t="str">
        <f t="shared" si="17"/>
        <v>23.6515179550555-0.119813436533247j</v>
      </c>
      <c r="X82" s="87" t="str">
        <f t="shared" si="18"/>
        <v>1.07869250864366+0.0704091664246673j</v>
      </c>
      <c r="Y82" s="87">
        <f t="shared" si="19"/>
        <v>0.67641717091804099</v>
      </c>
      <c r="Z82" s="87">
        <f t="shared" si="20"/>
        <v>-176.26544780060246</v>
      </c>
      <c r="AB82" s="87" t="str">
        <f t="shared" si="21"/>
        <v>8.98480665622017-0.0455150728217183j</v>
      </c>
      <c r="AC82" s="87">
        <f t="shared" si="22"/>
        <v>19.070286167381632</v>
      </c>
      <c r="AD82" s="87">
        <f t="shared" si="23"/>
        <v>179.70975454791579</v>
      </c>
      <c r="AF82" s="87" t="str">
        <f t="shared" si="24"/>
        <v>4.31664146029714-0.16810865404206j</v>
      </c>
      <c r="AG82" s="87">
        <f t="shared" si="25"/>
        <v>12.709501334258285</v>
      </c>
      <c r="AH82" s="87">
        <f t="shared" si="26"/>
        <v>177.76978202979043</v>
      </c>
      <c r="AJ82" s="87" t="str">
        <f t="shared" si="27"/>
        <v>157499.999919053-3.57059822197617j</v>
      </c>
      <c r="AK82" s="87" t="str">
        <f t="shared" si="28"/>
        <v>30000-1.29545513789071E-06j</v>
      </c>
      <c r="AL82" s="87" t="str">
        <f t="shared" si="43"/>
        <v>9999.99999999999-15438589.4308655j</v>
      </c>
      <c r="AM82" s="87" t="str">
        <f t="shared" si="44"/>
        <v>963.138927902064-4791286.8053387j</v>
      </c>
      <c r="AN82" s="87" t="str">
        <f t="shared" si="45"/>
        <v>10963.1389279021-4791286.8053387j</v>
      </c>
      <c r="AO82" s="87" t="str">
        <f t="shared" si="46"/>
        <v>29998.3941696482-187.827250364579j</v>
      </c>
      <c r="AP82" s="87" t="str">
        <f t="shared" si="47"/>
        <v>0.160000000011052+3.04690468063985E-06j</v>
      </c>
      <c r="AQ82" s="87" t="str">
        <f t="shared" si="29"/>
        <v>1+0.196909180959389j</v>
      </c>
      <c r="AR82" s="87">
        <f t="shared" si="30"/>
        <v>9.997165699886981E-8</v>
      </c>
      <c r="AS82" s="87" t="str">
        <f t="shared" si="31"/>
        <v>0.000010959233799744j</v>
      </c>
      <c r="AT82" s="87" t="str">
        <f t="shared" si="32"/>
        <v>9.99716569988698E-08+0.000010959233799744j</v>
      </c>
      <c r="AU82" s="87" t="str">
        <f t="shared" si="33"/>
        <v>5.63946843859476-27.3227324525731j</v>
      </c>
      <c r="AW82" s="87" t="str">
        <f t="shared" si="48"/>
        <v>0.898022559808565-4.37251885324242j</v>
      </c>
      <c r="AX82" s="87">
        <f t="shared" si="34"/>
        <v>12.994062996504665</v>
      </c>
      <c r="AY82" s="87">
        <f t="shared" si="35"/>
        <v>101.60595155352273</v>
      </c>
      <c r="AZ82" s="87" t="str">
        <f t="shared" si="36"/>
        <v>7.8695435587842-39.3271100592659j</v>
      </c>
      <c r="BA82" s="87">
        <f t="shared" si="37"/>
        <v>32.064349163886291</v>
      </c>
      <c r="BB82" s="87">
        <f t="shared" si="38"/>
        <v>101.31570610143852</v>
      </c>
      <c r="BD82" s="87" t="str">
        <f t="shared" si="39"/>
        <v>3.1413831547597-19.025561531666j</v>
      </c>
      <c r="BE82" s="87">
        <f t="shared" si="40"/>
        <v>25.703564330762969</v>
      </c>
      <c r="BF82" s="87">
        <f t="shared" si="41"/>
        <v>99.375733583313135</v>
      </c>
      <c r="BH82" s="87">
        <f t="shared" si="49"/>
        <v>-24.703564330762969</v>
      </c>
      <c r="BI82" s="107">
        <f t="shared" si="50"/>
        <v>-99.375733583313135</v>
      </c>
      <c r="BJ82" s="91"/>
      <c r="BK82" s="91"/>
      <c r="BL82" s="91"/>
      <c r="BM82" s="91"/>
      <c r="BN82" s="42"/>
      <c r="BO82" s="42"/>
      <c r="BP82" s="42"/>
    </row>
    <row r="83" spans="1:68" s="87" customFormat="1">
      <c r="A83" s="87">
        <v>19</v>
      </c>
      <c r="B83" s="87">
        <f t="shared" si="42"/>
        <v>239.88329190194909</v>
      </c>
      <c r="C83" s="87" t="str">
        <f t="shared" si="0"/>
        <v>1507.2311751162j</v>
      </c>
      <c r="D83" s="87">
        <f t="shared" si="1"/>
        <v>0.99999886332851884</v>
      </c>
      <c r="E83" s="87" t="str">
        <f t="shared" si="2"/>
        <v>-0.00167470130568467j</v>
      </c>
      <c r="F83" s="87" t="str">
        <f t="shared" si="3"/>
        <v>0.999998863328519-0.00167470130568467j</v>
      </c>
      <c r="G83" s="87">
        <f t="shared" si="4"/>
        <v>2.3073312415493505E-6</v>
      </c>
      <c r="H83" s="87">
        <f t="shared" si="5"/>
        <v>-9.5953336123807811E-2</v>
      </c>
      <c r="J83" s="87">
        <f t="shared" si="6"/>
        <v>14.187192118226601</v>
      </c>
      <c r="K83" s="87" t="str">
        <f t="shared" si="7"/>
        <v>1+0.0754746010939437j</v>
      </c>
      <c r="L83" s="87">
        <f t="shared" si="8"/>
        <v>0.9996839442027694</v>
      </c>
      <c r="M83" s="87" t="str">
        <f t="shared" si="9"/>
        <v>0.00541600877186459j</v>
      </c>
      <c r="N83" s="87" t="str">
        <f t="shared" si="10"/>
        <v>0.999683944202769+0.00541600877186459j</v>
      </c>
      <c r="O83" s="87" t="str">
        <f t="shared" si="11"/>
        <v>1.00069581320822+0.0700769720249007j</v>
      </c>
      <c r="P83" s="87" t="str">
        <f t="shared" si="12"/>
        <v>14.19706375389+0.994195465180857j</v>
      </c>
      <c r="R83" s="87">
        <f t="shared" si="13"/>
        <v>23.645320197044338</v>
      </c>
      <c r="S83" s="87" t="str">
        <f t="shared" si="14"/>
        <v>1+0.000113042338133715j</v>
      </c>
      <c r="T83" s="87" t="str">
        <f t="shared" si="15"/>
        <v>0.999683944202769+0.00541600877186459j</v>
      </c>
      <c r="U83" s="87" t="str">
        <f t="shared" si="16"/>
        <v>1.000287408208-0.00530620009440764j</v>
      </c>
      <c r="V83" s="87" t="str">
        <f t="shared" si="17"/>
        <v>23.6521160561498-0.125466800261856j</v>
      </c>
      <c r="X83" s="87" t="str">
        <f t="shared" si="18"/>
        <v>1.07876955460646+0.0737290736255973j</v>
      </c>
      <c r="Y83" s="87">
        <f t="shared" si="19"/>
        <v>0.67881276760402853</v>
      </c>
      <c r="Z83" s="87">
        <f t="shared" si="20"/>
        <v>-176.09016994491606</v>
      </c>
      <c r="AB83" s="87" t="str">
        <f t="shared" si="21"/>
        <v>8.98503386458385-0.0476626888925077j</v>
      </c>
      <c r="AC83" s="87">
        <f t="shared" si="22"/>
        <v>19.070516573003641</v>
      </c>
      <c r="AD83" s="87">
        <f t="shared" si="23"/>
        <v>179.69606733372552</v>
      </c>
      <c r="AF83" s="87" t="str">
        <f t="shared" si="24"/>
        <v>4.31604211423281-0.176008194315326j</v>
      </c>
      <c r="AG83" s="87">
        <f t="shared" si="25"/>
        <v>12.708929828801342</v>
      </c>
      <c r="AH83" s="87">
        <f t="shared" si="26"/>
        <v>177.66477208024861</v>
      </c>
      <c r="AJ83" s="87" t="str">
        <f t="shared" si="27"/>
        <v>157499.999911243-3.73887533166564j</v>
      </c>
      <c r="AK83" s="87" t="str">
        <f t="shared" si="28"/>
        <v>30000-1.35650805760458E-06j</v>
      </c>
      <c r="AL83" s="87" t="str">
        <f t="shared" si="43"/>
        <v>10000-14743738.4451055j</v>
      </c>
      <c r="AM83" s="87" t="str">
        <f t="shared" si="44"/>
        <v>963.138909359631-4575643.41624159j</v>
      </c>
      <c r="AN83" s="87" t="str">
        <f t="shared" si="45"/>
        <v>10963.1389093596-4575643.41624159j</v>
      </c>
      <c r="AO83" s="87" t="str">
        <f t="shared" si="46"/>
        <v>29998.2392544799-196.677887387147j</v>
      </c>
      <c r="AP83" s="87" t="str">
        <f t="shared" si="47"/>
        <v>0.160000000012119+3.19050087428386E-06j</v>
      </c>
      <c r="AQ83" s="87" t="str">
        <f t="shared" si="29"/>
        <v>1+0.206189224755896j</v>
      </c>
      <c r="AR83" s="87">
        <f t="shared" si="30"/>
        <v>9.996892251724748E-8</v>
      </c>
      <c r="AS83" s="87" t="str">
        <f t="shared" si="31"/>
        <v>0.0000114757265764762j</v>
      </c>
      <c r="AT83" s="87" t="str">
        <f t="shared" si="32"/>
        <v>9.99689225172475E-08+0.0000114757265764762j</v>
      </c>
      <c r="AU83" s="87" t="str">
        <f t="shared" si="33"/>
        <v>5.61753332315928-26.0931993500342j</v>
      </c>
      <c r="AW83" s="87" t="str">
        <f t="shared" si="48"/>
        <v>0.894512831621184-4.17583150042986j</v>
      </c>
      <c r="AX83" s="87">
        <f t="shared" si="34"/>
        <v>12.609705896507792</v>
      </c>
      <c r="AY83" s="87">
        <f t="shared" si="35"/>
        <v>102.09071386071635</v>
      </c>
      <c r="AZ83" s="87" t="str">
        <f t="shared" si="36"/>
        <v>7.83819672674861-37.5626223309622j</v>
      </c>
      <c r="BA83" s="87">
        <f t="shared" si="37"/>
        <v>31.680222469511431</v>
      </c>
      <c r="BB83" s="87">
        <f t="shared" si="38"/>
        <v>101.78678119444186</v>
      </c>
      <c r="BD83" s="87" t="str">
        <f t="shared" si="39"/>
        <v>3.12577449084296-18.1805062060808j</v>
      </c>
      <c r="BE83" s="87">
        <f t="shared" si="40"/>
        <v>25.318635725309136</v>
      </c>
      <c r="BF83" s="87">
        <f t="shared" si="41"/>
        <v>99.755485940964959</v>
      </c>
      <c r="BH83" s="87">
        <f t="shared" si="49"/>
        <v>-24.318635725309136</v>
      </c>
      <c r="BI83" s="107">
        <f t="shared" si="50"/>
        <v>-99.755485940964959</v>
      </c>
      <c r="BJ83" s="91"/>
      <c r="BK83" s="91"/>
      <c r="BL83" s="91"/>
      <c r="BM83" s="91"/>
      <c r="BN83" s="42"/>
      <c r="BO83" s="42"/>
      <c r="BP83" s="42"/>
    </row>
    <row r="84" spans="1:68" s="87" customFormat="1">
      <c r="A84" s="87">
        <v>20</v>
      </c>
      <c r="B84" s="87">
        <f t="shared" si="42"/>
        <v>251.18864315095806</v>
      </c>
      <c r="C84" s="87" t="str">
        <f t="shared" si="0"/>
        <v>1578.26479197648j</v>
      </c>
      <c r="D84" s="87">
        <f t="shared" si="1"/>
        <v>0.99999875366450475</v>
      </c>
      <c r="E84" s="87" t="str">
        <f t="shared" si="2"/>
        <v>-0.00175362754664053j</v>
      </c>
      <c r="F84" s="87" t="str">
        <f t="shared" si="3"/>
        <v>0.999998753664505-0.00175362754664053j</v>
      </c>
      <c r="G84" s="87">
        <f t="shared" si="4"/>
        <v>2.5299389254029058E-6</v>
      </c>
      <c r="H84" s="87">
        <f t="shared" si="5"/>
        <v>-0.10047547949211041</v>
      </c>
      <c r="J84" s="87">
        <f t="shared" si="6"/>
        <v>14.187192118226601</v>
      </c>
      <c r="K84" s="87" t="str">
        <f t="shared" si="7"/>
        <v>1+0.0790316094582222j</v>
      </c>
      <c r="L84" s="87">
        <f t="shared" si="8"/>
        <v>0.99965345170957198</v>
      </c>
      <c r="M84" s="87" t="str">
        <f t="shared" si="9"/>
        <v>0.00567125740151351j</v>
      </c>
      <c r="N84" s="87" t="str">
        <f t="shared" si="10"/>
        <v>0.999653451709572+0.00567125740151351j</v>
      </c>
      <c r="O84" s="87" t="str">
        <f t="shared" si="11"/>
        <v>1.0007629778202+0.0733814552309581j</v>
      </c>
      <c r="P84" s="87" t="str">
        <f t="shared" si="12"/>
        <v>14.1980166311437+1.04107680327665j</v>
      </c>
      <c r="R84" s="87">
        <f t="shared" si="13"/>
        <v>23.645320197044338</v>
      </c>
      <c r="S84" s="87" t="str">
        <f t="shared" si="14"/>
        <v>1+0.000118369859398236j</v>
      </c>
      <c r="T84" s="87" t="str">
        <f t="shared" si="15"/>
        <v>0.999653451709572+0.00567125740151351j</v>
      </c>
      <c r="U84" s="87" t="str">
        <f t="shared" si="16"/>
        <v>1.00031514459188-0.00555660043859712j</v>
      </c>
      <c r="V84" s="87" t="str">
        <f t="shared" si="17"/>
        <v>23.6527718918277-0.131387596577666j</v>
      </c>
      <c r="X84" s="87" t="str">
        <f t="shared" si="18"/>
        <v>1.07885404053339+0.0772056841148969j</v>
      </c>
      <c r="Y84" s="87">
        <f t="shared" si="19"/>
        <v>0.68143825364085497</v>
      </c>
      <c r="Z84" s="87">
        <f t="shared" si="20"/>
        <v>-175.90673856653666</v>
      </c>
      <c r="AB84" s="87" t="str">
        <f t="shared" si="21"/>
        <v>8.98528300532718-0.0499118980235877j</v>
      </c>
      <c r="AC84" s="87">
        <f t="shared" si="22"/>
        <v>19.070769214068303</v>
      </c>
      <c r="AD84" s="87">
        <f t="shared" si="23"/>
        <v>179.68173382080928</v>
      </c>
      <c r="AF84" s="87" t="str">
        <f t="shared" si="24"/>
        <v>4.31538512530406-0.184276602095473j</v>
      </c>
      <c r="AG84" s="87">
        <f t="shared" si="25"/>
        <v>12.708303271653708</v>
      </c>
      <c r="AH84" s="87">
        <f t="shared" si="26"/>
        <v>177.55482751456944</v>
      </c>
      <c r="AJ84" s="87" t="str">
        <f t="shared" si="27"/>
        <v>157499.99990268-3.91508309717752j</v>
      </c>
      <c r="AK84" s="87" t="str">
        <f t="shared" si="28"/>
        <v>30000-1.42043831277883E-06j</v>
      </c>
      <c r="AL84" s="87" t="str">
        <f t="shared" si="43"/>
        <v>10000-14080160.9053149j</v>
      </c>
      <c r="AM84" s="87" t="str">
        <f t="shared" si="44"/>
        <v>963.138889028259-4369705.58029752j</v>
      </c>
      <c r="AN84" s="87" t="str">
        <f t="shared" si="45"/>
        <v>10963.1388890283-4369705.58029752j</v>
      </c>
      <c r="AO84" s="87" t="str">
        <f t="shared" si="46"/>
        <v>29998.0693958926-205.945436383643j</v>
      </c>
      <c r="AP84" s="87" t="str">
        <f t="shared" si="47"/>
        <v>0.160000000013288+3.34086454803933E-06j</v>
      </c>
      <c r="AQ84" s="87" t="str">
        <f t="shared" si="29"/>
        <v>1+0.215906623542382j</v>
      </c>
      <c r="AR84" s="87">
        <f t="shared" si="30"/>
        <v>9.9965924217770846E-8</v>
      </c>
      <c r="AS84" s="87" t="str">
        <f t="shared" si="31"/>
        <v>0.0000120165609078547j</v>
      </c>
      <c r="AT84" s="87" t="str">
        <f t="shared" si="32"/>
        <v>9.99659242177708E-08+0.0000120165609078547j</v>
      </c>
      <c r="AU84" s="87" t="str">
        <f t="shared" si="33"/>
        <v>5.59752797991831-24.9189797512216j</v>
      </c>
      <c r="AW84" s="87" t="str">
        <f t="shared" si="48"/>
        <v>0.891311862198426-3.98799625875431j</v>
      </c>
      <c r="AX84" s="87">
        <f t="shared" si="34"/>
        <v>12.226787871987007</v>
      </c>
      <c r="AY84" s="87">
        <f t="shared" si="35"/>
        <v>102.59848229423537</v>
      </c>
      <c r="AZ84" s="87" t="str">
        <f t="shared" si="36"/>
        <v>7.80964086527264-35.8777620758667j</v>
      </c>
      <c r="BA84" s="87">
        <f t="shared" si="37"/>
        <v>31.297557086055306</v>
      </c>
      <c r="BB84" s="87">
        <f t="shared" si="38"/>
        <v>102.28021611504465</v>
      </c>
      <c r="BD84" s="87" t="str">
        <f t="shared" si="39"/>
        <v>3.11145955240544-17.3739876561699j</v>
      </c>
      <c r="BE84" s="87">
        <f t="shared" si="40"/>
        <v>24.935091143640715</v>
      </c>
      <c r="BF84" s="87">
        <f t="shared" si="41"/>
        <v>100.15330980880479</v>
      </c>
      <c r="BH84" s="87">
        <f t="shared" si="49"/>
        <v>-23.935091143640715</v>
      </c>
      <c r="BI84" s="107">
        <f t="shared" si="50"/>
        <v>-100.15330980880479</v>
      </c>
      <c r="BJ84" s="91"/>
      <c r="BK84" s="91"/>
      <c r="BL84" s="91"/>
      <c r="BM84" s="91"/>
      <c r="BN84" s="42"/>
      <c r="BO84" s="42"/>
      <c r="BP84" s="42"/>
    </row>
    <row r="85" spans="1:68" s="87" customFormat="1">
      <c r="A85" s="87">
        <v>21</v>
      </c>
      <c r="B85" s="87">
        <f t="shared" si="42"/>
        <v>263.02679918953822</v>
      </c>
      <c r="C85" s="87" t="str">
        <f t="shared" si="0"/>
        <v>1652.64612006218j</v>
      </c>
      <c r="D85" s="87">
        <f t="shared" si="1"/>
        <v>0.99999863342030437</v>
      </c>
      <c r="E85" s="87" t="str">
        <f t="shared" si="2"/>
        <v>-0.00183627346673576j</v>
      </c>
      <c r="F85" s="87" t="str">
        <f t="shared" si="3"/>
        <v>0.999998633420304-0.00183627346673576j</v>
      </c>
      <c r="G85" s="87">
        <f t="shared" si="4"/>
        <v>2.7740235001708196E-6</v>
      </c>
      <c r="H85" s="87">
        <f t="shared" si="5"/>
        <v>-0.10521074520124918</v>
      </c>
      <c r="J85" s="87">
        <f t="shared" si="6"/>
        <v>14.187192118226601</v>
      </c>
      <c r="K85" s="87" t="str">
        <f t="shared" si="7"/>
        <v>1+0.0827562544621137j</v>
      </c>
      <c r="L85" s="87">
        <f t="shared" si="8"/>
        <v>0.99962001735563499</v>
      </c>
      <c r="M85" s="87" t="str">
        <f t="shared" si="9"/>
        <v>0.00593853552846974j</v>
      </c>
      <c r="N85" s="87" t="str">
        <f t="shared" si="10"/>
        <v>0.999620017355635+0.00593853552846974j</v>
      </c>
      <c r="O85" s="87" t="str">
        <f t="shared" si="11"/>
        <v>1.00083662919427+0.0768419491885004j</v>
      </c>
      <c r="P85" s="87" t="str">
        <f t="shared" si="12"/>
        <v>14.1990615373374+1.09017149587626j</v>
      </c>
      <c r="R85" s="87">
        <f t="shared" si="13"/>
        <v>23.645320197044338</v>
      </c>
      <c r="S85" s="87" t="str">
        <f t="shared" si="14"/>
        <v>1+0.000123948459004663j</v>
      </c>
      <c r="T85" s="87" t="str">
        <f t="shared" si="15"/>
        <v>0.999620017355635+0.00593853552846974j</v>
      </c>
      <c r="U85" s="87" t="str">
        <f t="shared" si="16"/>
        <v>1.0003455585017-0.00581885024300706j</v>
      </c>
      <c r="V85" s="87" t="str">
        <f t="shared" si="17"/>
        <v>23.6534910384638-0.137588577174551j</v>
      </c>
      <c r="X85" s="87" t="str">
        <f t="shared" si="18"/>
        <v>1.07894668557656+0.0808464187969398j</v>
      </c>
      <c r="Y85" s="87">
        <f t="shared" si="19"/>
        <v>0.68431556047873809</v>
      </c>
      <c r="Z85" s="87">
        <f t="shared" si="20"/>
        <v>-175.71478513143595</v>
      </c>
      <c r="AB85" s="87" t="str">
        <f t="shared" si="21"/>
        <v>8.98555619681937-0.0522675443650977j</v>
      </c>
      <c r="AC85" s="87">
        <f t="shared" si="22"/>
        <v>19.071046237090524</v>
      </c>
      <c r="AD85" s="87">
        <f t="shared" si="23"/>
        <v>179.66672336617117</v>
      </c>
      <c r="AF85" s="87" t="str">
        <f t="shared" si="24"/>
        <v>4.31466496873939-0.192930755838527j</v>
      </c>
      <c r="AG85" s="87">
        <f t="shared" si="25"/>
        <v>12.707616368917682</v>
      </c>
      <c r="AH85" s="87">
        <f t="shared" si="26"/>
        <v>177.439717892754</v>
      </c>
      <c r="AJ85" s="87" t="str">
        <f t="shared" si="27"/>
        <v>157499.999893291-4.09959527880169j</v>
      </c>
      <c r="AK85" s="87" t="str">
        <f t="shared" si="28"/>
        <v>30000-1.48738150805596E-06j</v>
      </c>
      <c r="AL85" s="87" t="str">
        <f t="shared" si="43"/>
        <v>10000-13446449.2745647j</v>
      </c>
      <c r="AM85" s="87" t="str">
        <f t="shared" si="44"/>
        <v>963.138866735346-4173036.47574591j</v>
      </c>
      <c r="AN85" s="87" t="str">
        <f t="shared" si="45"/>
        <v>10963.1388667353-4173036.47574591j</v>
      </c>
      <c r="AO85" s="87" t="str">
        <f t="shared" si="46"/>
        <v>29997.883152682-215.649515341242j</v>
      </c>
      <c r="AP85" s="87" t="str">
        <f t="shared" si="47"/>
        <v>0.160000000014569+3.49831464341778E-06j</v>
      </c>
      <c r="AQ85" s="87" t="str">
        <f t="shared" si="29"/>
        <v>1+0.226081989224506j</v>
      </c>
      <c r="AR85" s="87">
        <f t="shared" si="30"/>
        <v>9.996263664776921E-8</v>
      </c>
      <c r="AS85" s="87" t="str">
        <f t="shared" si="31"/>
        <v>0.000012582883976007j</v>
      </c>
      <c r="AT85" s="87" t="str">
        <f t="shared" si="32"/>
        <v>9.99626366477692E-08+0.000012582883976007j</v>
      </c>
      <c r="AU85" s="87" t="str">
        <f t="shared" si="33"/>
        <v>5.57928265697154-23.7975873230637j</v>
      </c>
      <c r="AW85" s="87" t="str">
        <f t="shared" si="48"/>
        <v>0.888392490264322-3.80861539954911j</v>
      </c>
      <c r="AX85" s="87">
        <f t="shared" si="34"/>
        <v>11.845435888016059</v>
      </c>
      <c r="AY85" s="87">
        <f t="shared" si="35"/>
        <v>103.12996419463784</v>
      </c>
      <c r="AZ85" s="87" t="str">
        <f t="shared" si="36"/>
        <v>7.78363367173685-34.2689617986187j</v>
      </c>
      <c r="BA85" s="87">
        <f t="shared" si="37"/>
        <v>30.916482125106583</v>
      </c>
      <c r="BB85" s="87">
        <f t="shared" si="38"/>
        <v>102.796687560809</v>
      </c>
      <c r="BD85" s="87" t="str">
        <f t="shared" si="39"/>
        <v>3.09831690850135-16.6042976784639j</v>
      </c>
      <c r="BE85" s="87">
        <f t="shared" si="40"/>
        <v>24.553052256933746</v>
      </c>
      <c r="BF85" s="87">
        <f t="shared" si="41"/>
        <v>100.56968208739178</v>
      </c>
      <c r="BH85" s="87">
        <f t="shared" si="49"/>
        <v>-23.553052256933746</v>
      </c>
      <c r="BI85" s="107">
        <f t="shared" si="50"/>
        <v>-100.56968208739178</v>
      </c>
      <c r="BJ85" s="91"/>
      <c r="BK85" s="91"/>
      <c r="BL85" s="91"/>
      <c r="BM85" s="91"/>
      <c r="BN85" s="42"/>
      <c r="BO85" s="42"/>
      <c r="BP85" s="42"/>
    </row>
    <row r="86" spans="1:68" s="87" customFormat="1">
      <c r="A86" s="87">
        <v>22</v>
      </c>
      <c r="B86" s="87">
        <f t="shared" si="42"/>
        <v>275.4228703338166</v>
      </c>
      <c r="C86" s="87" t="str">
        <f t="shared" si="0"/>
        <v>1730.53293214266j</v>
      </c>
      <c r="D86" s="87">
        <f t="shared" si="1"/>
        <v>0.99999850157516046</v>
      </c>
      <c r="E86" s="87" t="str">
        <f t="shared" si="2"/>
        <v>-0.0019228143690474j</v>
      </c>
      <c r="F86" s="87" t="str">
        <f t="shared" si="3"/>
        <v>0.99999850157516-0.0019228143690474j</v>
      </c>
      <c r="G86" s="87">
        <f t="shared" si="4"/>
        <v>3.0416570484603142E-6</v>
      </c>
      <c r="H86" s="87">
        <f t="shared" si="5"/>
        <v>-0.11016917744064011</v>
      </c>
      <c r="J86" s="87">
        <f t="shared" si="6"/>
        <v>14.187192118226601</v>
      </c>
      <c r="K86" s="87" t="str">
        <f t="shared" si="7"/>
        <v>1+0.0866564365770437j</v>
      </c>
      <c r="L86" s="87">
        <f t="shared" si="8"/>
        <v>0.99958335731554093</v>
      </c>
      <c r="M86" s="87" t="str">
        <f t="shared" si="9"/>
        <v>0.00621841008547519j</v>
      </c>
      <c r="N86" s="87" t="str">
        <f t="shared" si="10"/>
        <v>0.999583357315541+0.00621841008547519j</v>
      </c>
      <c r="O86" s="87" t="str">
        <f t="shared" si="11"/>
        <v>1.00091739454634+0.08046584726268j</v>
      </c>
      <c r="P86" s="87" t="str">
        <f t="shared" si="12"/>
        <v>14.2002073709037+1.14158443407152j</v>
      </c>
      <c r="R86" s="87">
        <f t="shared" si="13"/>
        <v>23.645320197044338</v>
      </c>
      <c r="S86" s="87" t="str">
        <f t="shared" si="14"/>
        <v>1+0.000129789969910699j</v>
      </c>
      <c r="T86" s="87" t="str">
        <f t="shared" si="15"/>
        <v>0.999583357315541+0.00621841008547519j</v>
      </c>
      <c r="U86" s="87" t="str">
        <f t="shared" si="16"/>
        <v>1.00037890857792-0.0060935151429939j</v>
      </c>
      <c r="V86" s="87" t="str">
        <f t="shared" si="17"/>
        <v>23.6542796116947-0.144083116681629j</v>
      </c>
      <c r="X86" s="87" t="str">
        <f t="shared" si="18"/>
        <v>1.07904827854547+0.08465905360726j</v>
      </c>
      <c r="Y86" s="87">
        <f t="shared" si="19"/>
        <v>0.68746868585721344</v>
      </c>
      <c r="Z86" s="87">
        <f t="shared" si="20"/>
        <v>-175.51392603340076</v>
      </c>
      <c r="AB86" s="87" t="str">
        <f t="shared" si="21"/>
        <v>8.98585576228605-0.0547347087096089j</v>
      </c>
      <c r="AC86" s="87">
        <f t="shared" si="22"/>
        <v>19.071349995935748</v>
      </c>
      <c r="AD86" s="87">
        <f t="shared" si="23"/>
        <v>179.65100385537821</v>
      </c>
      <c r="AF86" s="87" t="str">
        <f t="shared" si="24"/>
        <v>4.31387559410161-0.201988255019987j</v>
      </c>
      <c r="AG86" s="87">
        <f t="shared" si="25"/>
        <v>12.706863319457595</v>
      </c>
      <c r="AH86" s="87">
        <f t="shared" si="26"/>
        <v>177.31920222754925</v>
      </c>
      <c r="AJ86" s="87" t="str">
        <f t="shared" si="27"/>
        <v>157499.999882996-4.29280325160733j</v>
      </c>
      <c r="AK86" s="87" t="str">
        <f t="shared" si="28"/>
        <v>30000-1.55747963892839E-06j</v>
      </c>
      <c r="AL86" s="87" t="str">
        <f t="shared" si="43"/>
        <v>10000-12841259.3655226j</v>
      </c>
      <c r="AM86" s="87" t="str">
        <f t="shared" si="44"/>
        <v>963.13884229166-3985218.9410481j</v>
      </c>
      <c r="AN86" s="87" t="str">
        <f t="shared" si="45"/>
        <v>10963.1388422917-3985218.9410481j</v>
      </c>
      <c r="AO86" s="87" t="str">
        <f t="shared" si="46"/>
        <v>29997.6789447008-225.810662301878j</v>
      </c>
      <c r="AP86" s="87" t="str">
        <f t="shared" si="47"/>
        <v>0.160000000015975+3.66318513318113E-06j</v>
      </c>
      <c r="AQ86" s="87" t="str">
        <f t="shared" si="29"/>
        <v>1+0.236736905117116j</v>
      </c>
      <c r="AR86" s="87">
        <f t="shared" si="30"/>
        <v>9.9959031898944124E-8</v>
      </c>
      <c r="AS86" s="87" t="str">
        <f t="shared" si="31"/>
        <v>0.0000131758970280891j</v>
      </c>
      <c r="AT86" s="87" t="str">
        <f t="shared" si="32"/>
        <v>9.99590318989441E-08+0.0000131758970280891j</v>
      </c>
      <c r="AU86" s="87" t="str">
        <f t="shared" si="33"/>
        <v>5.56264253081685-22.7266472255702j</v>
      </c>
      <c r="AW86" s="87" t="str">
        <f t="shared" si="48"/>
        <v>0.885729943037726-3.63730903735635j</v>
      </c>
      <c r="AX86" s="87">
        <f t="shared" si="34"/>
        <v>11.465786790417367</v>
      </c>
      <c r="AY86" s="87">
        <f t="shared" si="35"/>
        <v>103.68586763415217</v>
      </c>
      <c r="AZ86" s="87" t="str">
        <f t="shared" si="36"/>
        <v>7.75995446182832-32.7328145429712j</v>
      </c>
      <c r="BA86" s="87">
        <f t="shared" si="37"/>
        <v>30.537136786353109</v>
      </c>
      <c r="BB86" s="87">
        <f t="shared" si="38"/>
        <v>103.33687148953042</v>
      </c>
      <c r="BD86" s="87" t="str">
        <f t="shared" si="39"/>
        <v>3.08623507881142-15.8698057300699j</v>
      </c>
      <c r="BE86" s="87">
        <f t="shared" si="40"/>
        <v>24.172650109874954</v>
      </c>
      <c r="BF86" s="87">
        <f t="shared" si="41"/>
        <v>101.00506986170146</v>
      </c>
      <c r="BH86" s="87">
        <f t="shared" si="49"/>
        <v>-23.172650109874954</v>
      </c>
      <c r="BI86" s="107">
        <f t="shared" si="50"/>
        <v>-101.00506986170146</v>
      </c>
      <c r="BJ86" s="91"/>
      <c r="BK86" s="91"/>
      <c r="BL86" s="91"/>
      <c r="BM86" s="91"/>
      <c r="BN86" s="42"/>
      <c r="BO86" s="42"/>
      <c r="BP86" s="42"/>
    </row>
    <row r="87" spans="1:68" s="87" customFormat="1">
      <c r="A87" s="87">
        <v>23</v>
      </c>
      <c r="B87" s="87">
        <f t="shared" si="42"/>
        <v>288.40315031266061</v>
      </c>
      <c r="C87" s="87" t="str">
        <f t="shared" si="0"/>
        <v>1812.09043658881j</v>
      </c>
      <c r="D87" s="87">
        <f t="shared" si="1"/>
        <v>0.99999835700983486</v>
      </c>
      <c r="E87" s="87" t="str">
        <f t="shared" si="2"/>
        <v>-0.00201343381843201j</v>
      </c>
      <c r="F87" s="87" t="str">
        <f t="shared" si="3"/>
        <v>0.999998357009835-0.00201343381843201j</v>
      </c>
      <c r="G87" s="87">
        <f t="shared" si="4"/>
        <v>3.3351115574494979E-6</v>
      </c>
      <c r="H87" s="87">
        <f t="shared" si="5"/>
        <v>-0.11536129377412577</v>
      </c>
      <c r="J87" s="87">
        <f t="shared" si="6"/>
        <v>14.187192118226601</v>
      </c>
      <c r="K87" s="87" t="str">
        <f t="shared" si="7"/>
        <v>1+0.0907404286121847j</v>
      </c>
      <c r="L87" s="87">
        <f t="shared" si="8"/>
        <v>0.99954316038090807</v>
      </c>
      <c r="M87" s="87" t="str">
        <f t="shared" si="9"/>
        <v>0.00651147472398871j</v>
      </c>
      <c r="N87" s="87" t="str">
        <f t="shared" si="10"/>
        <v>0.999543160380908+0.00651147472398871j</v>
      </c>
      <c r="O87" s="87" t="str">
        <f t="shared" si="11"/>
        <v>1.00100596188539+0.084260897309037j</v>
      </c>
      <c r="P87" s="87" t="str">
        <f t="shared" si="12"/>
        <v>14.2014638927582+1.19542553817747j</v>
      </c>
      <c r="R87" s="87">
        <f t="shared" si="13"/>
        <v>23.645320197044338</v>
      </c>
      <c r="S87" s="87" t="str">
        <f t="shared" si="14"/>
        <v>1+0.000135906782744161j</v>
      </c>
      <c r="T87" s="87" t="str">
        <f t="shared" si="15"/>
        <v>0.999543160380908+0.00651147472398871j</v>
      </c>
      <c r="U87" s="87" t="str">
        <f t="shared" si="16"/>
        <v>1.0004154784785-0.00638118849857874j</v>
      </c>
      <c r="V87" s="87" t="str">
        <f t="shared" si="17"/>
        <v>23.6551443187034-0.150885245286591j</v>
      </c>
      <c r="X87" s="87" t="str">
        <f t="shared" si="18"/>
        <v>1.07915968468316+0.0886517370303089j</v>
      </c>
      <c r="Y87" s="87">
        <f t="shared" si="19"/>
        <v>0.69092388328404708</v>
      </c>
      <c r="Z87" s="87">
        <f t="shared" si="20"/>
        <v>-175.30376221518202</v>
      </c>
      <c r="AB87" s="87" t="str">
        <f t="shared" si="21"/>
        <v>8.98618424967118-0.0573187208851684j</v>
      </c>
      <c r="AC87" s="87">
        <f t="shared" si="22"/>
        <v>19.071683071877715</v>
      </c>
      <c r="AD87" s="87">
        <f t="shared" si="23"/>
        <v>179.63454162916349</v>
      </c>
      <c r="AF87" s="87" t="str">
        <f t="shared" si="24"/>
        <v>4.3130103760508-0.211467443213155j</v>
      </c>
      <c r="AG87" s="87">
        <f t="shared" si="25"/>
        <v>12.706037766669347</v>
      </c>
      <c r="AH87" s="87">
        <f t="shared" si="26"/>
        <v>177.19302853343379</v>
      </c>
      <c r="AJ87" s="87" t="str">
        <f t="shared" si="27"/>
        <v>157499.999871707-4.4951168356016j</v>
      </c>
      <c r="AK87" s="87" t="str">
        <f t="shared" si="28"/>
        <v>30000-1.63088139292993E-06j</v>
      </c>
      <c r="AL87" s="87" t="str">
        <f t="shared" si="43"/>
        <v>10000-12263307.4892524j</v>
      </c>
      <c r="AM87" s="87" t="str">
        <f t="shared" si="44"/>
        <v>963.138815489693-3805854.59003184j</v>
      </c>
      <c r="AN87" s="87" t="str">
        <f t="shared" si="45"/>
        <v>10963.1388154897-3805854.59003184j</v>
      </c>
      <c r="AO87" s="87" t="str">
        <f t="shared" si="46"/>
        <v>29997.4550394764-236.450378054978j</v>
      </c>
      <c r="AP87" s="87" t="str">
        <f t="shared" si="47"/>
        <v>0.160000000017517+3.83582572974259E-06j</v>
      </c>
      <c r="AQ87" s="87" t="str">
        <f t="shared" si="29"/>
        <v>1+0.247893971725349j</v>
      </c>
      <c r="AR87" s="87">
        <f t="shared" si="30"/>
        <v>9.9955079370454842E-8</v>
      </c>
      <c r="AS87" s="87" t="str">
        <f t="shared" si="31"/>
        <v>0.0000137968579242912j</v>
      </c>
      <c r="AT87" s="87" t="str">
        <f t="shared" si="32"/>
        <v>9.99550793704548E-08+0.0000137968579242912j</v>
      </c>
      <c r="AU87" s="87" t="str">
        <f t="shared" si="33"/>
        <v>5.54746639414713-21.7038911467701j</v>
      </c>
      <c r="AW87" s="87" t="str">
        <f t="shared" si="48"/>
        <v>0.883301626271113-3.4737143357056j</v>
      </c>
      <c r="AX87" s="87">
        <f t="shared" si="34"/>
        <v>11.08798784724398</v>
      </c>
      <c r="AY87" s="87">
        <f t="shared" si="35"/>
        <v>104.26689681338939</v>
      </c>
      <c r="AZ87" s="87" t="str">
        <f t="shared" si="36"/>
        <v>7.7384022992633-31.2660667707483j</v>
      </c>
      <c r="BA87" s="87">
        <f t="shared" si="37"/>
        <v>30.159670919121698</v>
      </c>
      <c r="BB87" s="87">
        <f t="shared" si="38"/>
        <v>103.9014384425529</v>
      </c>
      <c r="BD87" s="87" t="str">
        <f t="shared" si="39"/>
        <v>3.07511159026531-15.1689555098282j</v>
      </c>
      <c r="BE87" s="87">
        <f t="shared" si="40"/>
        <v>23.794025613913306</v>
      </c>
      <c r="BF87" s="87">
        <f t="shared" si="41"/>
        <v>101.45992534682323</v>
      </c>
      <c r="BH87" s="87">
        <f t="shared" si="49"/>
        <v>-22.794025613913306</v>
      </c>
      <c r="BI87" s="107">
        <f t="shared" si="50"/>
        <v>-101.45992534682323</v>
      </c>
      <c r="BJ87" s="91"/>
      <c r="BK87" s="91"/>
      <c r="BL87" s="91"/>
      <c r="BM87" s="91"/>
      <c r="BN87" s="42"/>
      <c r="BO87" s="42"/>
      <c r="BP87" s="42"/>
    </row>
    <row r="88" spans="1:68" s="87" customFormat="1">
      <c r="A88" s="87">
        <v>24</v>
      </c>
      <c r="B88" s="87">
        <f t="shared" si="42"/>
        <v>301.99517204020168</v>
      </c>
      <c r="C88" s="87" t="str">
        <f t="shared" si="0"/>
        <v>1897.49162780217j</v>
      </c>
      <c r="D88" s="87">
        <f t="shared" si="1"/>
        <v>0.99999819849710747</v>
      </c>
      <c r="E88" s="87" t="str">
        <f t="shared" si="2"/>
        <v>-0.0021083240308913j</v>
      </c>
      <c r="F88" s="87" t="str">
        <f t="shared" si="3"/>
        <v>0.999998198497107-0.0021083240308913j</v>
      </c>
      <c r="G88" s="87">
        <f t="shared" si="4"/>
        <v>3.6568782053329429E-6</v>
      </c>
      <c r="H88" s="87">
        <f t="shared" si="5"/>
        <v>-0.12079810745036462</v>
      </c>
      <c r="J88" s="87">
        <f t="shared" si="6"/>
        <v>14.187192118226601</v>
      </c>
      <c r="K88" s="87" t="str">
        <f t="shared" si="7"/>
        <v>1+0.0950168932621936j</v>
      </c>
      <c r="L88" s="87">
        <f t="shared" si="8"/>
        <v>0.99949908531853138</v>
      </c>
      <c r="M88" s="87" t="str">
        <f t="shared" si="9"/>
        <v>0.00681835107340046j</v>
      </c>
      <c r="N88" s="87" t="str">
        <f t="shared" si="10"/>
        <v>0.999499085318531+0.00681835107340046j</v>
      </c>
      <c r="O88" s="87" t="str">
        <f t="shared" si="11"/>
        <v>1.00110308593549+0.08823521927838j</v>
      </c>
      <c r="P88" s="87" t="str">
        <f t="shared" si="12"/>
        <v>14.2028418103163+1.25181000749623j</v>
      </c>
      <c r="R88" s="87">
        <f t="shared" si="13"/>
        <v>23.645320197044338</v>
      </c>
      <c r="S88" s="87" t="str">
        <f t="shared" si="14"/>
        <v>1+0.000142311872085163j</v>
      </c>
      <c r="T88" s="87" t="str">
        <f t="shared" si="15"/>
        <v>0.999499085318531+0.00681835107340046j</v>
      </c>
      <c r="U88" s="87" t="str">
        <f t="shared" si="16"/>
        <v>1.00045557930547-0.00668249285974401j</v>
      </c>
      <c r="V88" s="87" t="str">
        <f t="shared" si="17"/>
        <v>23.6560925155973-0.15800968338311j</v>
      </c>
      <c r="X88" s="87" t="str">
        <f t="shared" si="18"/>
        <v>1.0792818531073+0.0928330085595256j</v>
      </c>
      <c r="Y88" s="87">
        <f t="shared" si="19"/>
        <v>0.69470986784788713</v>
      </c>
      <c r="Z88" s="87">
        <f t="shared" si="20"/>
        <v>-175.08387881867947</v>
      </c>
      <c r="AB88" s="87" t="str">
        <f t="shared" si="21"/>
        <v>8.986544453434-0.0600251729172567j</v>
      </c>
      <c r="AC88" s="87">
        <f t="shared" si="22"/>
        <v>19.072048295601046</v>
      </c>
      <c r="AD88" s="87">
        <f t="shared" si="23"/>
        <v>179.61730140596748</v>
      </c>
      <c r="AF88" s="87" t="str">
        <f t="shared" si="24"/>
        <v>4.3120620606526-0.22138743067233j</v>
      </c>
      <c r="AG88" s="87">
        <f t="shared" si="25"/>
        <v>12.705132745738027</v>
      </c>
      <c r="AH88" s="87">
        <f t="shared" si="26"/>
        <v>177.06093336108984</v>
      </c>
      <c r="AJ88" s="87" t="str">
        <f t="shared" si="27"/>
        <v>157499.99985933-4.70696516501277j</v>
      </c>
      <c r="AK88" s="87" t="str">
        <f t="shared" si="28"/>
        <v>30000-1.70774246502195E-06j</v>
      </c>
      <c r="AL88" s="87" t="str">
        <f t="shared" si="43"/>
        <v>10000-11711367.7323372j</v>
      </c>
      <c r="AM88" s="87" t="str">
        <f t="shared" si="44"/>
        <v>963.138786101912-3634562.96686085j</v>
      </c>
      <c r="AN88" s="87" t="str">
        <f t="shared" si="45"/>
        <v>10963.1387861019-3634562.96686085j</v>
      </c>
      <c r="AO88" s="87" t="str">
        <f t="shared" si="46"/>
        <v>29997.2095375386-247.591170743321j</v>
      </c>
      <c r="AP88" s="87" t="str">
        <f t="shared" si="47"/>
        <v>0.160000000019206+4.01660262695355E-06j</v>
      </c>
      <c r="AQ88" s="87" t="str">
        <f t="shared" si="29"/>
        <v>1+0.259576854683337j</v>
      </c>
      <c r="AR88" s="87">
        <f t="shared" si="30"/>
        <v>9.9950745509146708E-8</v>
      </c>
      <c r="AS88" s="87" t="str">
        <f t="shared" si="31"/>
        <v>0.0000144470838059276j</v>
      </c>
      <c r="AT88" s="87" t="str">
        <f t="shared" si="32"/>
        <v>9.99507455091467E-08+0.0000144470838059276j</v>
      </c>
      <c r="AU88" s="87" t="str">
        <f t="shared" si="33"/>
        <v>5.53362545888208-20.727152554286j</v>
      </c>
      <c r="AW88" s="87" t="str">
        <f t="shared" si="48"/>
        <v>0.881086932726523-3.31748474756403j</v>
      </c>
      <c r="AX88" s="87">
        <f t="shared" si="34"/>
        <v>10.712197273566222</v>
      </c>
      <c r="AY88" s="87">
        <f t="shared" si="35"/>
        <v>104.87374682635873</v>
      </c>
      <c r="AZ88" s="87" t="str">
        <f t="shared" si="36"/>
        <v>7.71879429266382-29.8656115530655j</v>
      </c>
      <c r="BA88" s="87">
        <f t="shared" si="37"/>
        <v>29.784245569167275</v>
      </c>
      <c r="BB88" s="87">
        <f t="shared" si="38"/>
        <v>104.49104823232621</v>
      </c>
      <c r="BD88" s="87" t="str">
        <f t="shared" si="39"/>
        <v>3.06485211018897-14.5002616889998j</v>
      </c>
      <c r="BE88" s="87">
        <f t="shared" si="40"/>
        <v>23.417330019304238</v>
      </c>
      <c r="BF88" s="87">
        <f t="shared" si="41"/>
        <v>101.93468018744859</v>
      </c>
      <c r="BH88" s="87">
        <f t="shared" si="49"/>
        <v>-22.417330019304238</v>
      </c>
      <c r="BI88" s="107">
        <f t="shared" si="50"/>
        <v>-101.93468018744859</v>
      </c>
      <c r="BJ88" s="91"/>
      <c r="BK88" s="91"/>
      <c r="BL88" s="91"/>
      <c r="BM88" s="91"/>
      <c r="BN88" s="42"/>
      <c r="BO88" s="42"/>
      <c r="BP88" s="42"/>
    </row>
    <row r="89" spans="1:68" s="87" customFormat="1">
      <c r="A89" s="87">
        <v>25</v>
      </c>
      <c r="B89" s="87">
        <f t="shared" si="42"/>
        <v>316.22776601683796</v>
      </c>
      <c r="C89" s="87" t="str">
        <f t="shared" si="0"/>
        <v>1986.91765315922j</v>
      </c>
      <c r="D89" s="87">
        <f t="shared" si="1"/>
        <v>0.99999802469135801</v>
      </c>
      <c r="E89" s="87" t="str">
        <f t="shared" si="2"/>
        <v>-0.00220768628128802j</v>
      </c>
      <c r="F89" s="87" t="str">
        <f t="shared" si="3"/>
        <v>0.999998024691358-0.00220768628128802j</v>
      </c>
      <c r="G89" s="87">
        <f t="shared" si="4"/>
        <v>4.0096885494000323E-6</v>
      </c>
      <c r="H89" s="87">
        <f t="shared" si="5"/>
        <v>-0.12649115076481693</v>
      </c>
      <c r="J89" s="87">
        <f t="shared" si="6"/>
        <v>14.187192118226601</v>
      </c>
      <c r="K89" s="87" t="str">
        <f t="shared" si="7"/>
        <v>1+0.0994949014819479j</v>
      </c>
      <c r="L89" s="87">
        <f t="shared" si="8"/>
        <v>0.99945075797364158</v>
      </c>
      <c r="M89" s="87" t="str">
        <f t="shared" si="9"/>
        <v>0.0071396900595911j</v>
      </c>
      <c r="N89" s="87" t="str">
        <f t="shared" si="10"/>
        <v>0.999450757973642+0.0071396900595911j</v>
      </c>
      <c r="O89" s="87" t="str">
        <f t="shared" si="11"/>
        <v>1.00120959464073+0.0923973237848699j</v>
      </c>
      <c r="P89" s="87" t="str">
        <f t="shared" si="12"/>
        <v>14.2043528697798+1.31085858374594j</v>
      </c>
      <c r="R89" s="87">
        <f t="shared" si="13"/>
        <v>23.645320197044338</v>
      </c>
      <c r="S89" s="87" t="str">
        <f t="shared" si="14"/>
        <v>1+0.000149018823986941j</v>
      </c>
      <c r="T89" s="87" t="str">
        <f t="shared" si="15"/>
        <v>0.999450757973642+0.0071396900595911j</v>
      </c>
      <c r="U89" s="87" t="str">
        <f t="shared" si="16"/>
        <v>1.00049955226836-0.00699808152444593j</v>
      </c>
      <c r="V89" s="87" t="str">
        <f t="shared" si="17"/>
        <v>23.6571322703849-0.165471878410544j</v>
      </c>
      <c r="X89" s="87" t="str">
        <f t="shared" si="18"/>
        <v>1.07941582498293+0.0972118181614884j</v>
      </c>
      <c r="Y89" s="87">
        <f t="shared" si="19"/>
        <v>0.69885803956497283</v>
      </c>
      <c r="Z89" s="87">
        <f t="shared" si="20"/>
        <v>-174.85384487192098</v>
      </c>
      <c r="AB89" s="87" t="str">
        <f t="shared" si="21"/>
        <v>8.98693943847277-0.0628599330235598j</v>
      </c>
      <c r="AC89" s="87">
        <f t="shared" si="22"/>
        <v>19.072448771339506</v>
      </c>
      <c r="AD89" s="87">
        <f t="shared" si="23"/>
        <v>179.59924620013675</v>
      </c>
      <c r="AF89" s="87" t="str">
        <f t="shared" si="24"/>
        <v>4.31102270686119-0.231768116171259j</v>
      </c>
      <c r="AG89" s="87">
        <f t="shared" si="25"/>
        <v>12.704140625977187</v>
      </c>
      <c r="AH89" s="87">
        <f t="shared" si="26"/>
        <v>176.92264131765651</v>
      </c>
      <c r="AJ89" s="87" t="str">
        <f t="shared" si="27"/>
        <v>157499.999845758-4.92879759854126j</v>
      </c>
      <c r="AK89" s="87" t="str">
        <f t="shared" si="28"/>
        <v>30000-0.0000017882258878433j</v>
      </c>
      <c r="AL89" s="87" t="str">
        <f t="shared" si="43"/>
        <v>10000-11184269.3565527j</v>
      </c>
      <c r="AM89" s="87" t="str">
        <f t="shared" si="44"/>
        <v>963.138753878868-3470980.73903692j</v>
      </c>
      <c r="AN89" s="87" t="str">
        <f t="shared" si="45"/>
        <v>10963.1387538789-3470980.73903692j</v>
      </c>
      <c r="AO89" s="87" t="str">
        <f t="shared" si="46"/>
        <v>29996.9403563396-259.256602457644j</v>
      </c>
      <c r="AP89" s="87" t="str">
        <f t="shared" si="47"/>
        <v>0.16000000002106+4.20589927685003E-06j</v>
      </c>
      <c r="AQ89" s="87" t="str">
        <f t="shared" si="29"/>
        <v>1+0.271810334952181j</v>
      </c>
      <c r="AR89" s="87">
        <f t="shared" si="30"/>
        <v>9.9945993524717232E-8</v>
      </c>
      <c r="AS89" s="87" t="str">
        <f t="shared" si="31"/>
        <v>0.0000151279538892706j</v>
      </c>
      <c r="AT89" s="87" t="str">
        <f t="shared" si="32"/>
        <v>9.99459935247172E-08+0.0000151279538892706j</v>
      </c>
      <c r="AU89" s="87" t="str">
        <f t="shared" si="33"/>
        <v>5.52100226433321-19.7943621546745j</v>
      </c>
      <c r="AW89" s="87" t="str">
        <f t="shared" si="48"/>
        <v>0.879067067472294-3.16828928903927j</v>
      </c>
      <c r="AX89" s="87">
        <f t="shared" si="34"/>
        <v>10.338584728361074</v>
      </c>
      <c r="AY89" s="87">
        <f t="shared" si="35"/>
        <v>105.50709774982619</v>
      </c>
      <c r="AZ89" s="87" t="str">
        <f t="shared" si="36"/>
        <v>7.70096404522109-28.5284820611424j</v>
      </c>
      <c r="BA89" s="87">
        <f t="shared" si="37"/>
        <v>29.411033499700583</v>
      </c>
      <c r="BB89" s="87">
        <f t="shared" si="38"/>
        <v>105.10634394996293</v>
      </c>
      <c r="BD89" s="87" t="str">
        <f t="shared" si="39"/>
        <v>3.05536964872073-13.8623067851696j</v>
      </c>
      <c r="BE89" s="87">
        <f t="shared" si="40"/>
        <v>23.042725354338241</v>
      </c>
      <c r="BF89" s="87">
        <f t="shared" si="41"/>
        <v>102.42973906748271</v>
      </c>
      <c r="BH89" s="87">
        <f t="shared" si="49"/>
        <v>-22.042725354338241</v>
      </c>
      <c r="BI89" s="107">
        <f t="shared" si="50"/>
        <v>-102.42973906748271</v>
      </c>
      <c r="BJ89" s="91"/>
      <c r="BK89" s="91"/>
      <c r="BL89" s="91"/>
      <c r="BM89" s="91"/>
      <c r="BN89" s="42"/>
      <c r="BO89" s="42"/>
      <c r="BP89" s="42"/>
    </row>
    <row r="90" spans="1:68" s="87" customFormat="1">
      <c r="A90" s="87">
        <v>26</v>
      </c>
      <c r="B90" s="87">
        <f t="shared" si="42"/>
        <v>331.13112148259114</v>
      </c>
      <c r="C90" s="87" t="str">
        <f t="shared" si="0"/>
        <v>2080.55819724932j</v>
      </c>
      <c r="D90" s="87">
        <f t="shared" si="1"/>
        <v>0.99999783411714338</v>
      </c>
      <c r="E90" s="87" t="str">
        <f t="shared" si="2"/>
        <v>-0.00231173133027702j</v>
      </c>
      <c r="F90" s="87" t="str">
        <f t="shared" si="3"/>
        <v>0.999997834117143-0.00231173133027702j</v>
      </c>
      <c r="G90" s="87">
        <f t="shared" si="4"/>
        <v>4.3965376620295883E-6</v>
      </c>
      <c r="H90" s="87">
        <f t="shared" si="5"/>
        <v>-0.13245249952291541</v>
      </c>
      <c r="J90" s="87">
        <f t="shared" si="6"/>
        <v>14.187192118226601</v>
      </c>
      <c r="K90" s="87" t="str">
        <f t="shared" si="7"/>
        <v>1+0.10418395172726j</v>
      </c>
      <c r="L90" s="87">
        <f t="shared" si="8"/>
        <v>0.99939776809369252</v>
      </c>
      <c r="M90" s="87" t="str">
        <f t="shared" si="9"/>
        <v>0.00747617328563309j</v>
      </c>
      <c r="N90" s="87" t="str">
        <f t="shared" si="10"/>
        <v>0.999397768093693+0.00747617328563309j</v>
      </c>
      <c r="O90" s="87" t="str">
        <f t="shared" si="11"/>
        <v>1.00132639631154+0.0967561317025985j</v>
      </c>
      <c r="P90" s="87" t="str">
        <f t="shared" si="12"/>
        <v>14.2060099575233+1.3726978290812j</v>
      </c>
      <c r="R90" s="87">
        <f t="shared" si="13"/>
        <v>23.645320197044338</v>
      </c>
      <c r="S90" s="87" t="str">
        <f t="shared" si="14"/>
        <v>1+0.000156041864793699j</v>
      </c>
      <c r="T90" s="87" t="str">
        <f t="shared" si="15"/>
        <v>0.999397768093693+0.00747617328563309j</v>
      </c>
      <c r="U90" s="87" t="str">
        <f t="shared" si="16"/>
        <v>1.00054777160778-0.00732864019725676j</v>
      </c>
      <c r="V90" s="87" t="str">
        <f t="shared" si="17"/>
        <v>23.6582724321051-0.173288044073066j</v>
      </c>
      <c r="X90" s="87" t="str">
        <f t="shared" si="18"/>
        <v>1.07956274249984+0.101797546811451j</v>
      </c>
      <c r="Y90" s="87">
        <f t="shared" si="19"/>
        <v>0.70340272549949856</v>
      </c>
      <c r="Z90" s="87">
        <f t="shared" si="20"/>
        <v>-174.6132130217635</v>
      </c>
      <c r="AB90" s="87" t="str">
        <f t="shared" si="21"/>
        <v>8.98737256638584-0.0658291605126451j</v>
      </c>
      <c r="AC90" s="87">
        <f t="shared" si="22"/>
        <v>19.072887903359192</v>
      </c>
      <c r="AD90" s="87">
        <f t="shared" si="23"/>
        <v>179.58033723547169</v>
      </c>
      <c r="AF90" s="87" t="str">
        <f t="shared" si="24"/>
        <v>4.30988362278264-0.242630207804276j</v>
      </c>
      <c r="AG90" s="87">
        <f t="shared" si="25"/>
        <v>12.703053047810782</v>
      </c>
      <c r="AH90" s="87">
        <f t="shared" si="26"/>
        <v>176.77786457321079</v>
      </c>
      <c r="AJ90" s="87" t="str">
        <f t="shared" si="27"/>
        <v>157499.999830877-5.16108467250965j</v>
      </c>
      <c r="AK90" s="87" t="str">
        <f t="shared" si="28"/>
        <v>30000-1.87250237752439E-06j</v>
      </c>
      <c r="AL90" s="87" t="str">
        <f t="shared" si="43"/>
        <v>10000-10680894.3155745j</v>
      </c>
      <c r="AM90" s="87" t="str">
        <f t="shared" si="44"/>
        <v>963.138718547002-3314760.92672296j</v>
      </c>
      <c r="AN90" s="87" t="str">
        <f t="shared" si="45"/>
        <v>10963.138718547-3314760.92672296j</v>
      </c>
      <c r="AO90" s="87" t="str">
        <f t="shared" si="46"/>
        <v>29996.645212625-271.471337896878j</v>
      </c>
      <c r="AP90" s="87" t="str">
        <f t="shared" si="47"/>
        <v>0.160000000023091+4.40411720300566E-06j</v>
      </c>
      <c r="AQ90" s="87" t="str">
        <f t="shared" si="29"/>
        <v>1+0.284620361383707j</v>
      </c>
      <c r="AR90" s="87">
        <f t="shared" si="30"/>
        <v>9.9940783077401899E-8</v>
      </c>
      <c r="AS90" s="87" t="str">
        <f t="shared" si="31"/>
        <v>0.0000158409123910529j</v>
      </c>
      <c r="AT90" s="87" t="str">
        <f t="shared" si="32"/>
        <v>9.99407830774019E-08+0.0000158409123910529j</v>
      </c>
      <c r="AU90" s="87" t="str">
        <f t="shared" si="33"/>
        <v>5.50948968128412-18.9035435519502j</v>
      </c>
      <c r="AW90" s="87" t="str">
        <f t="shared" si="48"/>
        <v>0.877224888525445-3.02581184496151j</v>
      </c>
      <c r="AX90" s="87">
        <f t="shared" si="34"/>
        <v>9.9673317703553206</v>
      </c>
      <c r="AY90" s="87">
        <f t="shared" si="35"/>
        <v>106.16760801785229</v>
      </c>
      <c r="AZ90" s="87" t="str">
        <f t="shared" si="36"/>
        <v>7.68476024406143-27.2518453444448j</v>
      </c>
      <c r="BA90" s="87">
        <f t="shared" si="37"/>
        <v>29.040219673714503</v>
      </c>
      <c r="BB90" s="87">
        <f t="shared" si="38"/>
        <v>105.74794525332399</v>
      </c>
      <c r="BD90" s="87" t="str">
        <f t="shared" si="39"/>
        <v>3.04658382383349-13.2537381732153j</v>
      </c>
      <c r="BE90" s="87">
        <f t="shared" si="40"/>
        <v>22.67038481816607</v>
      </c>
      <c r="BF90" s="87">
        <f t="shared" si="41"/>
        <v>102.94547259106314</v>
      </c>
      <c r="BH90" s="87">
        <f t="shared" si="49"/>
        <v>-21.67038481816607</v>
      </c>
      <c r="BI90" s="107">
        <f t="shared" si="50"/>
        <v>-102.94547259106314</v>
      </c>
      <c r="BJ90" s="91"/>
      <c r="BK90" s="91"/>
      <c r="BL90" s="91"/>
      <c r="BM90" s="91"/>
      <c r="BN90" s="42"/>
      <c r="BO90" s="42"/>
      <c r="BP90" s="42"/>
    </row>
    <row r="91" spans="1:68" s="87" customFormat="1">
      <c r="A91" s="87">
        <v>27</v>
      </c>
      <c r="B91" s="87">
        <f t="shared" si="42"/>
        <v>346.73685045253171</v>
      </c>
      <c r="C91" s="87" t="str">
        <f t="shared" si="0"/>
        <v>2178.61188422107j</v>
      </c>
      <c r="D91" s="87">
        <f t="shared" si="1"/>
        <v>0.99999762515667234</v>
      </c>
      <c r="E91" s="87" t="str">
        <f t="shared" si="2"/>
        <v>-0.00242067987135674j</v>
      </c>
      <c r="F91" s="87" t="str">
        <f t="shared" si="3"/>
        <v>0.999997625156672-0.00242067987135674j</v>
      </c>
      <c r="G91" s="87">
        <f t="shared" si="4"/>
        <v>4.8207096041839154E-6</v>
      </c>
      <c r="H91" s="87">
        <f t="shared" si="5"/>
        <v>-0.13869479865631978</v>
      </c>
      <c r="J91" s="87">
        <f t="shared" si="6"/>
        <v>14.187192118226601</v>
      </c>
      <c r="K91" s="87" t="str">
        <f t="shared" si="7"/>
        <v>1+0.10909399010237j</v>
      </c>
      <c r="L91" s="87">
        <f t="shared" si="8"/>
        <v>0.9993396658457121</v>
      </c>
      <c r="M91" s="87" t="str">
        <f t="shared" si="9"/>
        <v>0.00782851447756187j</v>
      </c>
      <c r="N91" s="87" t="str">
        <f t="shared" si="10"/>
        <v>0.999339665845712+0.00782851447756187j</v>
      </c>
      <c r="O91" s="87" t="str">
        <f t="shared" si="11"/>
        <v>1.0014544874772+0.101320994861989j</v>
      </c>
      <c r="P91" s="87" t="str">
        <f t="shared" si="12"/>
        <v>14.2078272114992+1.43746041971689j</v>
      </c>
      <c r="R91" s="87">
        <f t="shared" si="13"/>
        <v>23.645320197044338</v>
      </c>
      <c r="S91" s="87" t="str">
        <f t="shared" si="14"/>
        <v>1+0.00016339589131658j</v>
      </c>
      <c r="T91" s="87" t="str">
        <f t="shared" si="15"/>
        <v>0.999339665845712+0.00782851447756187j</v>
      </c>
      <c r="U91" s="87" t="str">
        <f t="shared" si="16"/>
        <v>1.0006006478048-0.00767488875745797j</v>
      </c>
      <c r="V91" s="87" t="str">
        <f t="shared" si="17"/>
        <v>23.6595227067145-0.181475202146789j</v>
      </c>
      <c r="X91" s="87" t="str">
        <f t="shared" si="18"/>
        <v>1.07972385873592+0.106600028173699j</v>
      </c>
      <c r="Y91" s="87">
        <f t="shared" si="19"/>
        <v>0.70838144193834551</v>
      </c>
      <c r="Z91" s="87">
        <f t="shared" si="20"/>
        <v>-174.36151932256135</v>
      </c>
      <c r="AB91" s="87" t="str">
        <f t="shared" si="21"/>
        <v>8.98784752429992-0.0689393216657727j</v>
      </c>
      <c r="AC91" s="87">
        <f t="shared" si="22"/>
        <v>19.073369425014505</v>
      </c>
      <c r="AD91" s="87">
        <f t="shared" si="23"/>
        <v>179.56053385378544</v>
      </c>
      <c r="AF91" s="87" t="str">
        <f t="shared" si="24"/>
        <v>4.30863529629828-0.253995242408015j</v>
      </c>
      <c r="AG91" s="87">
        <f t="shared" si="25"/>
        <v>12.701860853919303</v>
      </c>
      <c r="AH91" s="87">
        <f t="shared" si="26"/>
        <v>176.6263023541043</v>
      </c>
      <c r="AJ91" s="87" t="str">
        <f t="shared" si="27"/>
        <v>157499.999814561-5.4043190989329j</v>
      </c>
      <c r="AK91" s="87" t="str">
        <f t="shared" si="28"/>
        <v>30000-1.96075069579896E-06j</v>
      </c>
      <c r="AL91" s="87" t="str">
        <f t="shared" si="43"/>
        <v>10000-10200174.8834522j</v>
      </c>
      <c r="AM91" s="87" t="str">
        <f t="shared" si="44"/>
        <v>963.138679806378-3165572.16675235j</v>
      </c>
      <c r="AN91" s="87" t="str">
        <f t="shared" si="45"/>
        <v>10963.1386798064-3165572.16675235j</v>
      </c>
      <c r="AO91" s="87" t="str">
        <f t="shared" si="46"/>
        <v>29996.3216031153-284.261195172124j</v>
      </c>
      <c r="AP91" s="87" t="str">
        <f t="shared" si="47"/>
        <v>0.160000000025319+4.61167685221704E-06j</v>
      </c>
      <c r="AQ91" s="87" t="str">
        <f t="shared" si="29"/>
        <v>1+0.298034105761442j</v>
      </c>
      <c r="AR91" s="87">
        <f t="shared" si="30"/>
        <v>9.9935069935528488E-8</v>
      </c>
      <c r="AS91" s="87" t="str">
        <f t="shared" si="31"/>
        <v>0.0000165874715918447j</v>
      </c>
      <c r="AT91" s="87" t="str">
        <f t="shared" si="32"/>
        <v>9.99350699355285E-08+0.0000165874715918447j</v>
      </c>
      <c r="AU91" s="87" t="str">
        <f t="shared" si="33"/>
        <v>5.49899000357109-18.0528090969961j</v>
      </c>
      <c r="AW91" s="87" t="str">
        <f t="shared" si="48"/>
        <v>0.875544761493563-2.88975050501897j</v>
      </c>
      <c r="AX91" s="87">
        <f t="shared" si="34"/>
        <v>9.5986322576157264</v>
      </c>
      <c r="AY91" s="87">
        <f t="shared" si="35"/>
        <v>106.85590704954076</v>
      </c>
      <c r="AZ91" s="87" t="str">
        <f t="shared" si="36"/>
        <v>7.67004537740435-26.0329963843246j</v>
      </c>
      <c r="BA91" s="87">
        <f t="shared" si="37"/>
        <v>28.672001682630238</v>
      </c>
      <c r="BB91" s="87">
        <f t="shared" si="38"/>
        <v>106.41644090332619</v>
      </c>
      <c r="BD91" s="87" t="str">
        <f t="shared" si="39"/>
        <v>3.03842018283924-12.6732652273551j</v>
      </c>
      <c r="BE91" s="87">
        <f t="shared" si="40"/>
        <v>22.300493111535005</v>
      </c>
      <c r="BF91" s="87">
        <f t="shared" si="41"/>
        <v>103.48220940364509</v>
      </c>
      <c r="BH91" s="87">
        <f t="shared" si="49"/>
        <v>-21.300493111535005</v>
      </c>
      <c r="BI91" s="107">
        <f t="shared" si="50"/>
        <v>-103.48220940364509</v>
      </c>
      <c r="BJ91" s="91"/>
      <c r="BK91" s="91"/>
      <c r="BL91" s="91"/>
      <c r="BM91" s="91"/>
      <c r="BN91" s="42"/>
      <c r="BO91" s="42"/>
      <c r="BP91" s="42"/>
    </row>
    <row r="92" spans="1:68" s="87" customFormat="1">
      <c r="A92" s="87">
        <v>28</v>
      </c>
      <c r="B92" s="87">
        <f t="shared" si="42"/>
        <v>363.0780547701014</v>
      </c>
      <c r="C92" s="87" t="str">
        <f t="shared" si="0"/>
        <v>2281.28669909085j</v>
      </c>
      <c r="D92" s="87">
        <f t="shared" si="1"/>
        <v>0.99999739603607196</v>
      </c>
      <c r="E92" s="87" t="str">
        <f t="shared" si="2"/>
        <v>-0.00253476299898983j</v>
      </c>
      <c r="F92" s="87" t="str">
        <f t="shared" si="3"/>
        <v>0.999997396036072-0.00253476299898983j</v>
      </c>
      <c r="G92" s="87">
        <f t="shared" si="4"/>
        <v>5.2858052826838916E-6</v>
      </c>
      <c r="H92" s="87">
        <f t="shared" si="5"/>
        <v>-0.14523128904665503</v>
      </c>
      <c r="J92" s="87">
        <f t="shared" si="6"/>
        <v>14.187192118226601</v>
      </c>
      <c r="K92" s="87" t="str">
        <f t="shared" si="7"/>
        <v>1+0.114235431456974j</v>
      </c>
      <c r="L92" s="87">
        <f t="shared" si="8"/>
        <v>0.99927595799765467</v>
      </c>
      <c r="M92" s="87" t="str">
        <f t="shared" si="9"/>
        <v>0.00819746099828483j</v>
      </c>
      <c r="N92" s="87" t="str">
        <f t="shared" si="10"/>
        <v>0.999275957997655+0.00819746099828483j</v>
      </c>
      <c r="O92" s="87" t="str">
        <f t="shared" si="11"/>
        <v>1.00159496151601+0.106101717924166j</v>
      </c>
      <c r="P92" s="87" t="str">
        <f t="shared" si="12"/>
        <v>14.2098201436754+1.50528545626403j</v>
      </c>
      <c r="R92" s="87">
        <f t="shared" si="13"/>
        <v>23.645320197044338</v>
      </c>
      <c r="S92" s="87" t="str">
        <f t="shared" si="14"/>
        <v>1+0.000171096502431814j</v>
      </c>
      <c r="T92" s="87" t="str">
        <f t="shared" si="15"/>
        <v>0.999275957997655+0.00819746099828483j</v>
      </c>
      <c r="U92" s="87" t="str">
        <f t="shared" si="16"/>
        <v>1.00065863110457-0.00803758314644031j</v>
      </c>
      <c r="V92" s="87" t="str">
        <f t="shared" si="17"/>
        <v>23.6608937404036-0.190051227107948j</v>
      </c>
      <c r="X92" s="87" t="str">
        <f t="shared" si="18"/>
        <v>1.07990054849564+0.111629571507087j</v>
      </c>
      <c r="Y92" s="87">
        <f t="shared" si="19"/>
        <v>0.71383517791938367</v>
      </c>
      <c r="Z92" s="87">
        <f t="shared" si="20"/>
        <v>-174.09828309250963</v>
      </c>
      <c r="AB92" s="87" t="str">
        <f t="shared" si="21"/>
        <v>8.98836835652046-0.0721972066903769j</v>
      </c>
      <c r="AC92" s="87">
        <f t="shared" si="22"/>
        <v>19.073897430629248</v>
      </c>
      <c r="AD92" s="87">
        <f t="shared" si="23"/>
        <v>179.53979341810208</v>
      </c>
      <c r="AF92" s="87" t="str">
        <f t="shared" si="24"/>
        <v>4.30726731960545-0.265885603205596j</v>
      </c>
      <c r="AG92" s="87">
        <f t="shared" si="25"/>
        <v>12.700554014037087</v>
      </c>
      <c r="AH92" s="87">
        <f t="shared" si="26"/>
        <v>176.46764042399198</v>
      </c>
      <c r="AJ92" s="87" t="str">
        <f t="shared" si="27"/>
        <v>157499.99979667-5.65901681062654j</v>
      </c>
      <c r="AK92" s="87" t="str">
        <f t="shared" si="28"/>
        <v>30000-2.05315802918177E-06j</v>
      </c>
      <c r="AL92" s="87" t="str">
        <f t="shared" si="43"/>
        <v>10000-9741091.38981891j</v>
      </c>
      <c r="AM92" s="87" t="str">
        <f t="shared" si="44"/>
        <v>963.138637328134-3023098.00976304j</v>
      </c>
      <c r="AN92" s="87" t="str">
        <f t="shared" si="45"/>
        <v>10963.1386373281-3023098.00976304j</v>
      </c>
      <c r="AO92" s="87" t="str">
        <f t="shared" si="46"/>
        <v>29995.9667833298-297.65319883334j</v>
      </c>
      <c r="AP92" s="87" t="str">
        <f t="shared" si="47"/>
        <v>0.160000000027762+4.82901848632794E-06j</v>
      </c>
      <c r="AQ92" s="87" t="str">
        <f t="shared" si="29"/>
        <v>1+0.312080020435628j</v>
      </c>
      <c r="AR92" s="87">
        <f t="shared" si="30"/>
        <v>9.9928805600032821E-8</v>
      </c>
      <c r="AS92" s="87" t="str">
        <f t="shared" si="31"/>
        <v>0.0000173692150438039j</v>
      </c>
      <c r="AT92" s="87" t="str">
        <f t="shared" si="32"/>
        <v>9.99288056000328E-08+0.0000173692150438039j</v>
      </c>
      <c r="AU92" s="87" t="str">
        <f t="shared" si="33"/>
        <v>5.48941411948788-17.2403559198502j</v>
      </c>
      <c r="AW92" s="87" t="str">
        <f t="shared" si="48"/>
        <v>0.874012426987566-2.7598169291643j</v>
      </c>
      <c r="AX92" s="87">
        <f t="shared" si="34"/>
        <v>9.2326926735411128</v>
      </c>
      <c r="AY92" s="87">
        <f t="shared" si="35"/>
        <v>107.57258710808058</v>
      </c>
      <c r="AZ92" s="87" t="str">
        <f t="shared" si="36"/>
        <v>7.65669456867821-24.869352411731j</v>
      </c>
      <c r="BA92" s="87">
        <f t="shared" si="37"/>
        <v>28.30659010417035</v>
      </c>
      <c r="BB92" s="87">
        <f t="shared" si="38"/>
        <v>107.1123805261827</v>
      </c>
      <c r="BD92" s="87" t="str">
        <f t="shared" si="39"/>
        <v>3.03080957474472-12.119656588442j</v>
      </c>
      <c r="BE92" s="87">
        <f t="shared" si="40"/>
        <v>21.933246687578173</v>
      </c>
      <c r="BF92" s="87">
        <f t="shared" si="41"/>
        <v>104.04022753207261</v>
      </c>
      <c r="BH92" s="87">
        <f t="shared" si="49"/>
        <v>-20.933246687578173</v>
      </c>
      <c r="BI92" s="107">
        <f t="shared" si="50"/>
        <v>-104.04022753207261</v>
      </c>
      <c r="BJ92" s="91"/>
      <c r="BK92" s="91"/>
      <c r="BL92" s="91"/>
      <c r="BM92" s="91"/>
      <c r="BN92" s="42"/>
      <c r="BO92" s="42"/>
      <c r="BP92" s="42"/>
    </row>
    <row r="93" spans="1:68" s="87" customFormat="1">
      <c r="A93" s="87">
        <v>29</v>
      </c>
      <c r="B93" s="87">
        <f t="shared" si="42"/>
        <v>380.18939632056117</v>
      </c>
      <c r="C93" s="87" t="str">
        <f t="shared" si="0"/>
        <v>2388.80042890683j</v>
      </c>
      <c r="D93" s="87">
        <f t="shared" si="1"/>
        <v>0.99999714481032942</v>
      </c>
      <c r="E93" s="87" t="str">
        <f t="shared" si="2"/>
        <v>-0.00265422269878537j</v>
      </c>
      <c r="F93" s="87" t="str">
        <f t="shared" si="3"/>
        <v>0.999997144810329-0.00265422269878537j</v>
      </c>
      <c r="G93" s="87">
        <f t="shared" si="4"/>
        <v>5.7957730133430796E-6</v>
      </c>
      <c r="H93" s="87">
        <f t="shared" si="5"/>
        <v>-0.15207583561364096</v>
      </c>
      <c r="J93" s="87">
        <f t="shared" si="6"/>
        <v>14.187192118226601</v>
      </c>
      <c r="K93" s="87" t="str">
        <f t="shared" si="7"/>
        <v>1+0.119619181477509j</v>
      </c>
      <c r="L93" s="87">
        <f t="shared" si="8"/>
        <v>0.99920610373133645</v>
      </c>
      <c r="M93" s="87" t="str">
        <f t="shared" si="9"/>
        <v>0.00858379543283787j</v>
      </c>
      <c r="N93" s="87" t="str">
        <f t="shared" si="10"/>
        <v>0.999206103731336+0.00858379543283787j</v>
      </c>
      <c r="O93" s="87" t="str">
        <f t="shared" si="11"/>
        <v>1.00174901814223+0.111108581519014j</v>
      </c>
      <c r="P93" s="87" t="str">
        <f t="shared" si="12"/>
        <v>14.2120057746287+1.57631879199389j</v>
      </c>
      <c r="R93" s="87">
        <f t="shared" si="13"/>
        <v>23.645320197044338</v>
      </c>
      <c r="S93" s="87" t="str">
        <f t="shared" si="14"/>
        <v>1+0.000179160032168012j</v>
      </c>
      <c r="T93" s="87" t="str">
        <f t="shared" si="15"/>
        <v>0.999206103731336+0.00858379543283787j</v>
      </c>
      <c r="U93" s="87" t="str">
        <f t="shared" si="16"/>
        <v>1.00072221538547-0.00841751738544094j</v>
      </c>
      <c r="V93" s="87" t="str">
        <f t="shared" si="17"/>
        <v>23.662397211085-0.199034893842939j</v>
      </c>
      <c r="X93" s="87" t="str">
        <f t="shared" si="18"/>
        <v>1.08009432022272+0.116896985883819j</v>
      </c>
      <c r="Y93" s="87">
        <f t="shared" si="19"/>
        <v>0.71980870142461462</v>
      </c>
      <c r="Z93" s="87">
        <f t="shared" si="20"/>
        <v>-173.82300685100304</v>
      </c>
      <c r="AB93" s="87" t="str">
        <f t="shared" si="21"/>
        <v>8.98893949928649-0.0756099478442933j</v>
      </c>
      <c r="AC93" s="87">
        <f t="shared" si="22"/>
        <v>19.074476410481495</v>
      </c>
      <c r="AD93" s="87">
        <f t="shared" si="23"/>
        <v>179.51807121008426</v>
      </c>
      <c r="AF93" s="87" t="str">
        <f t="shared" si="24"/>
        <v>4.30576830721014-0.278324535211097j</v>
      </c>
      <c r="AG93" s="87">
        <f t="shared" si="25"/>
        <v>12.699121542848244</v>
      </c>
      <c r="AH93" s="87">
        <f t="shared" si="26"/>
        <v>176.30155055363605</v>
      </c>
      <c r="AJ93" s="87" t="str">
        <f t="shared" si="27"/>
        <v>157499.999777053-5.92571805556894j</v>
      </c>
      <c r="AK93" s="87" t="str">
        <f t="shared" si="28"/>
        <v>30000-2.14992038601615E-06j</v>
      </c>
      <c r="AL93" s="87" t="str">
        <f t="shared" si="43"/>
        <v>10000-9302670.05703431j</v>
      </c>
      <c r="AM93" s="87" t="str">
        <f t="shared" si="44"/>
        <v>963.138590751671-2887036.24896626j</v>
      </c>
      <c r="AN93" s="87" t="str">
        <f t="shared" si="45"/>
        <v>10963.1385907517-2887036.24896626j</v>
      </c>
      <c r="AO93" s="87" t="str">
        <f t="shared" si="46"/>
        <v>29995.5777443787-311.675635198041j</v>
      </c>
      <c r="AP93" s="87" t="str">
        <f t="shared" si="47"/>
        <v>0.16000000003044+5.05660311608342E-06j</v>
      </c>
      <c r="AQ93" s="87" t="str">
        <f t="shared" si="29"/>
        <v>1+0.326787898674454j</v>
      </c>
      <c r="AR93" s="87">
        <f t="shared" si="30"/>
        <v>9.9921936892748486E-8</v>
      </c>
      <c r="AS93" s="87" t="str">
        <f t="shared" si="31"/>
        <v>0.0000181878009296022j</v>
      </c>
      <c r="AT93" s="87" t="str">
        <f t="shared" si="32"/>
        <v>9.99219368927485E-08+0.0000181878009296022j</v>
      </c>
      <c r="AU93" s="87" t="str">
        <f t="shared" si="33"/>
        <v>5.48068075600809-16.4644621371451j</v>
      </c>
      <c r="AW93" s="87" t="str">
        <f t="shared" si="48"/>
        <v>0.872614879684441-2.63573574105768j</v>
      </c>
      <c r="AX93" s="87">
        <f t="shared" si="34"/>
        <v>8.8697323597810573</v>
      </c>
      <c r="AY93" s="87">
        <f t="shared" si="35"/>
        <v>108.318194382477</v>
      </c>
      <c r="AZ93" s="87" t="str">
        <f t="shared" si="36"/>
        <v>7.64459451774789-23.7584474780156j</v>
      </c>
      <c r="BA93" s="87">
        <f t="shared" si="37"/>
        <v>27.944208770262549</v>
      </c>
      <c r="BB93" s="87">
        <f t="shared" si="38"/>
        <v>107.83626559256129</v>
      </c>
      <c r="BD93" s="87" t="str">
        <f t="shared" si="39"/>
        <v>3.0236875682761-11.5917375508336j</v>
      </c>
      <c r="BE93" s="87">
        <f t="shared" si="40"/>
        <v>21.568853902629268</v>
      </c>
      <c r="BF93" s="87">
        <f t="shared" si="41"/>
        <v>104.61974493611311</v>
      </c>
      <c r="BH93" s="87">
        <f t="shared" si="49"/>
        <v>-20.568853902629268</v>
      </c>
      <c r="BI93" s="107">
        <f t="shared" si="50"/>
        <v>-104.61974493611311</v>
      </c>
      <c r="BJ93" s="91"/>
      <c r="BK93" s="91"/>
      <c r="BL93" s="91"/>
      <c r="BM93" s="91"/>
      <c r="BN93" s="42"/>
      <c r="BO93" s="42"/>
      <c r="BP93" s="42"/>
    </row>
    <row r="94" spans="1:68" s="87" customFormat="1">
      <c r="A94" s="87">
        <v>30</v>
      </c>
      <c r="B94" s="87">
        <f t="shared" si="42"/>
        <v>398.10717055349727</v>
      </c>
      <c r="C94" s="87" t="str">
        <f t="shared" si="0"/>
        <v>2501.38112470457j</v>
      </c>
      <c r="D94" s="87">
        <f t="shared" si="1"/>
        <v>0.99999686934678034</v>
      </c>
      <c r="E94" s="87" t="str">
        <f t="shared" si="2"/>
        <v>-0.00277931236078286j</v>
      </c>
      <c r="F94" s="87" t="str">
        <f t="shared" si="3"/>
        <v>0.99999686934678-0.00277931236078286j</v>
      </c>
      <c r="G94" s="87">
        <f t="shared" si="4"/>
        <v>6.3549420773215642E-6</v>
      </c>
      <c r="H94" s="87">
        <f t="shared" si="5"/>
        <v>-0.15924295672726441</v>
      </c>
      <c r="J94" s="87">
        <f t="shared" si="6"/>
        <v>14.187192118226601</v>
      </c>
      <c r="K94" s="87" t="str">
        <f t="shared" si="7"/>
        <v>1+0.125256659819581j</v>
      </c>
      <c r="L94" s="87">
        <f t="shared" si="8"/>
        <v>0.99912951005141104</v>
      </c>
      <c r="M94" s="87" t="str">
        <f t="shared" si="9"/>
        <v>0.00898833724835344j</v>
      </c>
      <c r="N94" s="87" t="str">
        <f t="shared" si="10"/>
        <v>0.999129510051411+0.00898833724835344j</v>
      </c>
      <c r="O94" s="87" t="str">
        <f t="shared" si="11"/>
        <v>1.00191797383745+0.116352366741286j</v>
      </c>
      <c r="P94" s="87" t="str">
        <f t="shared" si="12"/>
        <v>14.2144027815362+1.65071338036898j</v>
      </c>
      <c r="R94" s="87">
        <f t="shared" si="13"/>
        <v>23.645320197044338</v>
      </c>
      <c r="S94" s="87" t="str">
        <f t="shared" si="14"/>
        <v>1+0.000187603584352843j</v>
      </c>
      <c r="T94" s="87" t="str">
        <f t="shared" si="15"/>
        <v>0.999129510051411+0.00898833724835344j</v>
      </c>
      <c r="U94" s="87" t="str">
        <f t="shared" si="16"/>
        <v>1.00079194240816-0.0088155257359911j</v>
      </c>
      <c r="V94" s="87" t="str">
        <f t="shared" si="17"/>
        <v>23.6640459288629-0.208445928732795j</v>
      </c>
      <c r="X94" s="87" t="str">
        <f t="shared" si="18"/>
        <v>1.08030682909649+0.122413605818282j</v>
      </c>
      <c r="Y94" s="87">
        <f t="shared" si="19"/>
        <v>0.72635088953767801</v>
      </c>
      <c r="Z94" s="87">
        <f t="shared" si="20"/>
        <v>-173.53517635215047</v>
      </c>
      <c r="AB94" s="87" t="str">
        <f t="shared" si="21"/>
        <v>8.98956581893723-0.0791850388418766j</v>
      </c>
      <c r="AC94" s="87">
        <f t="shared" si="22"/>
        <v>19.075111289194918</v>
      </c>
      <c r="AD94" s="87">
        <f t="shared" si="23"/>
        <v>179.4953203212371</v>
      </c>
      <c r="AF94" s="87" t="str">
        <f t="shared" si="24"/>
        <v>4.30412580688264-0.291336157859525j</v>
      </c>
      <c r="AG94" s="87">
        <f t="shared" si="25"/>
        <v>12.69755141038279</v>
      </c>
      <c r="AH94" s="87">
        <f t="shared" si="26"/>
        <v>176.12768998084977</v>
      </c>
      <c r="AJ94" s="87" t="str">
        <f t="shared" si="27"/>
        <v>157499.999755544-6.20498854283949j</v>
      </c>
      <c r="AK94" s="87" t="str">
        <f t="shared" si="28"/>
        <v>30000-2.25124301223411E-06j</v>
      </c>
      <c r="AL94" s="87" t="str">
        <f t="shared" si="43"/>
        <v>10000-8883980.93467134j</v>
      </c>
      <c r="AM94" s="87" t="str">
        <f t="shared" si="44"/>
        <v>963.138539681609-2757098.27912521j</v>
      </c>
      <c r="AN94" s="87" t="str">
        <f t="shared" si="45"/>
        <v>10963.1385396816-2757098.27912521j</v>
      </c>
      <c r="AO94" s="87" t="str">
        <f t="shared" si="46"/>
        <v>29995.1511875293-326.35811006152j</v>
      </c>
      <c r="AP94" s="87" t="str">
        <f t="shared" si="47"/>
        <v>0.160000000033376+5.29491347899553E-06j</v>
      </c>
      <c r="AQ94" s="87" t="str">
        <f t="shared" si="29"/>
        <v>1+0.342188937859585j</v>
      </c>
      <c r="AR94" s="87">
        <f t="shared" si="30"/>
        <v>9.991440550497553E-8</v>
      </c>
      <c r="AS94" s="87" t="str">
        <f t="shared" si="31"/>
        <v>0.0000190449655796532j</v>
      </c>
      <c r="AT94" s="87" t="str">
        <f t="shared" si="32"/>
        <v>9.99144055049755E-08+0.0000190449655796532j</v>
      </c>
      <c r="AU94" s="87" t="str">
        <f t="shared" si="33"/>
        <v>5.47271578943397-15.7234832272589j</v>
      </c>
      <c r="AW94" s="87" t="str">
        <f t="shared" si="48"/>
        <v>0.871340258017142-2.517243948356j</v>
      </c>
      <c r="AX94" s="87">
        <f t="shared" si="34"/>
        <v>8.5099836345490036</v>
      </c>
      <c r="AY94" s="87">
        <f t="shared" si="35"/>
        <v>109.09321930038199</v>
      </c>
      <c r="AZ94" s="87" t="str">
        <f t="shared" si="36"/>
        <v>7.6336425403098-22.6979272682433j</v>
      </c>
      <c r="BA94" s="87">
        <f t="shared" si="37"/>
        <v>27.585094923743934</v>
      </c>
      <c r="BB94" s="87">
        <f t="shared" si="38"/>
        <v>108.58853962161908</v>
      </c>
      <c r="BD94" s="87" t="str">
        <f t="shared" si="39"/>
        <v>3.01699391079818-11.0883875632973j</v>
      </c>
      <c r="BE94" s="87">
        <f t="shared" si="40"/>
        <v>21.207535044931831</v>
      </c>
      <c r="BF94" s="87">
        <f t="shared" si="41"/>
        <v>105.22090928123168</v>
      </c>
      <c r="BH94" s="87">
        <f t="shared" si="49"/>
        <v>-20.207535044931831</v>
      </c>
      <c r="BI94" s="107">
        <f t="shared" si="50"/>
        <v>-105.22090928123168</v>
      </c>
      <c r="BJ94" s="91"/>
      <c r="BK94" s="91"/>
      <c r="BL94" s="91"/>
      <c r="BM94" s="91"/>
      <c r="BN94" s="42"/>
      <c r="BO94" s="42"/>
      <c r="BP94" s="42"/>
    </row>
    <row r="95" spans="1:68" s="87" customFormat="1">
      <c r="A95" s="87">
        <v>31</v>
      </c>
      <c r="B95" s="87">
        <f t="shared" si="42"/>
        <v>416.86938347033549</v>
      </c>
      <c r="C95" s="87" t="str">
        <f t="shared" si="0"/>
        <v>2619.26758523382j</v>
      </c>
      <c r="D95" s="87">
        <f t="shared" si="1"/>
        <v>0.99999656730700492</v>
      </c>
      <c r="E95" s="87" t="str">
        <f t="shared" si="2"/>
        <v>-0.00291029731692647j</v>
      </c>
      <c r="F95" s="87" t="str">
        <f t="shared" si="3"/>
        <v>0.999996567307005-0.00291029731692647j</v>
      </c>
      <c r="G95" s="87">
        <f t="shared" si="4"/>
        <v>6.9680594384818778E-6</v>
      </c>
      <c r="H95" s="87">
        <f t="shared" si="5"/>
        <v>-0.16674785500642064</v>
      </c>
      <c r="J95" s="87">
        <f t="shared" si="6"/>
        <v>14.187192118226601</v>
      </c>
      <c r="K95" s="87" t="str">
        <f t="shared" si="7"/>
        <v>1+0.131159824330584j</v>
      </c>
      <c r="L95" s="87">
        <f t="shared" si="8"/>
        <v>0.99904552675141045</v>
      </c>
      <c r="M95" s="87" t="str">
        <f t="shared" si="9"/>
        <v>0.00941194453226015j</v>
      </c>
      <c r="N95" s="87" t="str">
        <f t="shared" si="10"/>
        <v>0.99904552675141+0.00941194453226015j</v>
      </c>
      <c r="O95" s="87" t="str">
        <f t="shared" si="11"/>
        <v>1.00210327332327+0.121844381108728j</v>
      </c>
      <c r="P95" s="87" t="str">
        <f t="shared" si="12"/>
        <v>14.217031660941+1.72862964331594j</v>
      </c>
      <c r="R95" s="87">
        <f t="shared" si="13"/>
        <v>23.645320197044338</v>
      </c>
      <c r="S95" s="87" t="str">
        <f t="shared" si="14"/>
        <v>1+0.000196445068892536j</v>
      </c>
      <c r="T95" s="87" t="str">
        <f t="shared" si="15"/>
        <v>0.99904552675141+0.00941194453226015j</v>
      </c>
      <c r="U95" s="87" t="str">
        <f t="shared" si="16"/>
        <v>1.00086840648247-0.00923248501697881j</v>
      </c>
      <c r="V95" s="87" t="str">
        <f t="shared" si="17"/>
        <v>23.6658539463835-0.218305064440878j</v>
      </c>
      <c r="X95" s="87" t="str">
        <f t="shared" si="18"/>
        <v>1.08053989143287+0.128191318412491j</v>
      </c>
      <c r="Y95" s="87">
        <f t="shared" si="19"/>
        <v>0.73351508382704322</v>
      </c>
      <c r="Z95" s="87">
        <f t="shared" si="20"/>
        <v>-173.23426073156929</v>
      </c>
      <c r="AB95" s="87" t="str">
        <f t="shared" si="21"/>
        <v>8.99025265383233-0.0829303556669063j</v>
      </c>
      <c r="AC95" s="87">
        <f t="shared" si="22"/>
        <v>19.075807467872352</v>
      </c>
      <c r="AD95" s="87">
        <f t="shared" si="23"/>
        <v>179.47149153738692</v>
      </c>
      <c r="AF95" s="87" t="str">
        <f t="shared" si="24"/>
        <v>4.30232620307041-0.304945474245227j</v>
      </c>
      <c r="AG95" s="87">
        <f t="shared" si="25"/>
        <v>12.695830444275163</v>
      </c>
      <c r="AH95" s="87">
        <f t="shared" si="26"/>
        <v>175.9457008622764</v>
      </c>
      <c r="AJ95" s="87" t="str">
        <f t="shared" si="27"/>
        <v>157499.999731959-6.49742064256303j</v>
      </c>
      <c r="AK95" s="87" t="str">
        <f t="shared" si="28"/>
        <v>30000-2.35734082671044E-06j</v>
      </c>
      <c r="AL95" s="87" t="str">
        <f t="shared" si="43"/>
        <v>10000-8484135.92696694j</v>
      </c>
      <c r="AM95" s="87" t="str">
        <f t="shared" si="44"/>
        <v>963.138483684393-2633008.4843848j</v>
      </c>
      <c r="AN95" s="87" t="str">
        <f t="shared" si="45"/>
        <v>10963.1384836844-2633008.4843848j</v>
      </c>
      <c r="AO95" s="87" t="str">
        <f t="shared" si="46"/>
        <v>29994.6834963327-341.731608867319j</v>
      </c>
      <c r="AP95" s="87" t="str">
        <f t="shared" si="47"/>
        <v>0.160000000036597+5.54445506329449E-06j</v>
      </c>
      <c r="AQ95" s="87" t="str">
        <f t="shared" si="29"/>
        <v>1+0.358315805659986j</v>
      </c>
      <c r="AR95" s="87">
        <f t="shared" si="30"/>
        <v>9.9906147502495783E-8</v>
      </c>
      <c r="AS95" s="87" t="str">
        <f t="shared" si="31"/>
        <v>0.0000199425271551016j</v>
      </c>
      <c r="AT95" s="87" t="str">
        <f t="shared" si="32"/>
        <v>9.99061475024958E-08+0.0000199425271551016j</v>
      </c>
      <c r="AU95" s="87" t="str">
        <f t="shared" si="33"/>
        <v>5.46545161663848-15.0158485660136j</v>
      </c>
      <c r="AW95" s="87" t="str">
        <f t="shared" si="48"/>
        <v>0.870177743558258-2.40409038870266j</v>
      </c>
      <c r="AX95" s="87">
        <f t="shared" si="34"/>
        <v>8.1536917729409826</v>
      </c>
      <c r="AY95" s="87">
        <f t="shared" si="35"/>
        <v>109.89808610147365</v>
      </c>
      <c r="AZ95" s="87" t="str">
        <f t="shared" si="36"/>
        <v>7.62374569733996-21.6855441468536j</v>
      </c>
      <c r="BA95" s="87">
        <f t="shared" si="37"/>
        <v>27.229499240813336</v>
      </c>
      <c r="BB95" s="87">
        <f t="shared" si="38"/>
        <v>109.36957763886058</v>
      </c>
      <c r="BD95" s="87" t="str">
        <f t="shared" si="39"/>
        <v>3.01067202372806-10.6085378385522j</v>
      </c>
      <c r="BE95" s="87">
        <f t="shared" si="40"/>
        <v>20.849522217216151</v>
      </c>
      <c r="BF95" s="87">
        <f t="shared" si="41"/>
        <v>105.84378696375006</v>
      </c>
      <c r="BH95" s="87">
        <f t="shared" si="49"/>
        <v>-19.849522217216151</v>
      </c>
      <c r="BI95" s="107">
        <f t="shared" si="50"/>
        <v>-105.84378696375006</v>
      </c>
      <c r="BJ95" s="91"/>
      <c r="BK95" s="91"/>
      <c r="BL95" s="91"/>
      <c r="BM95" s="91"/>
      <c r="BN95" s="42"/>
      <c r="BO95" s="42"/>
      <c r="BP95" s="42"/>
    </row>
    <row r="96" spans="1:68" s="87" customFormat="1">
      <c r="A96" s="87">
        <v>32</v>
      </c>
      <c r="B96" s="87">
        <f t="shared" si="42"/>
        <v>436.51583224016599</v>
      </c>
      <c r="C96" s="87" t="str">
        <f t="shared" si="0"/>
        <v>2742.70986348268j</v>
      </c>
      <c r="D96" s="87">
        <f t="shared" si="1"/>
        <v>0.99999623612697686</v>
      </c>
      <c r="E96" s="87" t="str">
        <f t="shared" si="2"/>
        <v>-0.00304745540386964j</v>
      </c>
      <c r="F96" s="87" t="str">
        <f t="shared" si="3"/>
        <v>0.999996236126977-0.00304745540386964j</v>
      </c>
      <c r="G96" s="87">
        <f t="shared" si="4"/>
        <v>7.6403300672534207E-6</v>
      </c>
      <c r="H96" s="87">
        <f t="shared" si="5"/>
        <v>-0.17460644956941548</v>
      </c>
      <c r="J96" s="87">
        <f t="shared" si="6"/>
        <v>14.187192118226601</v>
      </c>
      <c r="K96" s="87" t="str">
        <f t="shared" si="7"/>
        <v>1+0.137341196413895j</v>
      </c>
      <c r="L96" s="87">
        <f t="shared" si="8"/>
        <v>0.99895344089411953</v>
      </c>
      <c r="M96" s="87" t="str">
        <f t="shared" si="9"/>
        <v>0.00985551581240119j</v>
      </c>
      <c r="N96" s="87" t="str">
        <f t="shared" si="10"/>
        <v>0.99895344089412+0.00985551581240119j</v>
      </c>
      <c r="O96" s="87" t="str">
        <f t="shared" si="11"/>
        <v>1.00230650218308+0.12759648609716j</v>
      </c>
      <c r="P96" s="87" t="str">
        <f t="shared" si="12"/>
        <v>14.2199149078191+1.81023586187104j</v>
      </c>
      <c r="R96" s="87">
        <f t="shared" si="13"/>
        <v>23.645320197044338</v>
      </c>
      <c r="S96" s="87" t="str">
        <f t="shared" si="14"/>
        <v>1+0.000205703239761201j</v>
      </c>
      <c r="T96" s="87" t="str">
        <f t="shared" si="15"/>
        <v>0.99895344089412+0.00985551581240119j</v>
      </c>
      <c r="U96" s="87" t="str">
        <f t="shared" si="16"/>
        <v>1.00095225959431-0.00966931709398162j</v>
      </c>
      <c r="V96" s="87" t="str">
        <f t="shared" si="17"/>
        <v>23.6678366800625-0.22863409877395j</v>
      </c>
      <c r="X96" s="87" t="str">
        <f t="shared" si="18"/>
        <v>1.08079550052444+0.134242592135798j</v>
      </c>
      <c r="Y96" s="87">
        <f t="shared" si="19"/>
        <v>0.74135947215337461</v>
      </c>
      <c r="Z96" s="87">
        <f t="shared" si="20"/>
        <v>-172.91971278575033</v>
      </c>
      <c r="AB96" s="87" t="str">
        <f t="shared" si="21"/>
        <v>8.99100586040412-0.0868541789328999j</v>
      </c>
      <c r="AC96" s="87">
        <f t="shared" si="22"/>
        <v>19.076570870341993</v>
      </c>
      <c r="AD96" s="87">
        <f t="shared" si="23"/>
        <v>179.44653321587802</v>
      </c>
      <c r="AF96" s="87" t="str">
        <f t="shared" si="24"/>
        <v>4.30035461224622-0.31917837625878j</v>
      </c>
      <c r="AG96" s="87">
        <f t="shared" si="25"/>
        <v>12.693944223201045</v>
      </c>
      <c r="AH96" s="87">
        <f t="shared" si="26"/>
        <v>175.75520971907557</v>
      </c>
      <c r="AJ96" s="87" t="str">
        <f t="shared" si="27"/>
        <v>157499.999706099-6.80363464240587j</v>
      </c>
      <c r="AK96" s="87" t="str">
        <f t="shared" si="28"/>
        <v>30000-2.46843887713441E-06j</v>
      </c>
      <c r="AL96" s="87" t="str">
        <f t="shared" si="43"/>
        <v>10000-8102286.9090515j</v>
      </c>
      <c r="AM96" s="87" t="str">
        <f t="shared" si="44"/>
        <v>963.138422284679-2514503.65365335j</v>
      </c>
      <c r="AN96" s="87" t="str">
        <f t="shared" si="45"/>
        <v>10963.1384222847-2514503.65365335j</v>
      </c>
      <c r="AO96" s="87" t="str">
        <f t="shared" si="46"/>
        <v>29994.1707060809-357.828559415704j</v>
      </c>
      <c r="AP96" s="87" t="str">
        <f t="shared" si="47"/>
        <v>0.160000000040127+0.0000058057571801366j</v>
      </c>
      <c r="AQ96" s="87" t="str">
        <f t="shared" si="29"/>
        <v>1+0.375202709324431j</v>
      </c>
      <c r="AR96" s="87">
        <f t="shared" ref="AR96:AR127" si="51">(IMPRODUCT(C96,C96))*_res1*_Cap1*_cap2 + (1/Roerr)</f>
        <v>9.9897092782833039E-8</v>
      </c>
      <c r="AS96" s="87" t="str">
        <f t="shared" si="31"/>
        <v>0.0000208823895043872j</v>
      </c>
      <c r="AT96" s="87" t="str">
        <f t="shared" si="32"/>
        <v>9.9897092782833E-08+0.0000208823895043872j</v>
      </c>
      <c r="AU96" s="87" t="str">
        <f t="shared" si="33"/>
        <v>5.45882658158007-14.3400581160303j</v>
      </c>
      <c r="AW96" s="87" t="str">
        <f t="shared" si="48"/>
        <v>0.869117469245982-2.29603520031579j</v>
      </c>
      <c r="AX96" s="87">
        <f t="shared" si="34"/>
        <v>7.8011148243455599</v>
      </c>
      <c r="AY96" s="87">
        <f t="shared" si="35"/>
        <v>110.7331417261627</v>
      </c>
      <c r="AZ96" s="87" t="str">
        <f t="shared" si="36"/>
        <v>7.61482000724576-20.719152425921j</v>
      </c>
      <c r="BA96" s="87">
        <f t="shared" si="37"/>
        <v>26.877685694687543</v>
      </c>
      <c r="BB96" s="87">
        <f t="shared" si="38"/>
        <v>110.17967494204075</v>
      </c>
      <c r="BD96" s="87" t="str">
        <f t="shared" si="39"/>
        <v>3.00466853038592-10.1511690661697j</v>
      </c>
      <c r="BE96" s="87">
        <f t="shared" si="40"/>
        <v>20.495059047546562</v>
      </c>
      <c r="BF96" s="87">
        <f t="shared" si="41"/>
        <v>106.48835144523834</v>
      </c>
      <c r="BH96" s="87">
        <f t="shared" si="49"/>
        <v>-19.495059047546562</v>
      </c>
      <c r="BI96" s="107">
        <f t="shared" si="50"/>
        <v>-106.48835144523834</v>
      </c>
      <c r="BJ96" s="91"/>
      <c r="BK96" s="91"/>
      <c r="BL96" s="91"/>
      <c r="BM96" s="91"/>
      <c r="BN96" s="42"/>
      <c r="BO96" s="42"/>
      <c r="BP96" s="42"/>
    </row>
    <row r="97" spans="1:68" s="87" customFormat="1">
      <c r="A97" s="87">
        <v>33</v>
      </c>
      <c r="B97" s="87">
        <f t="shared" si="42"/>
        <v>457.08818961487509</v>
      </c>
      <c r="C97" s="87" t="str">
        <f t="shared" si="0"/>
        <v>2871.9697970735j</v>
      </c>
      <c r="D97" s="87">
        <f t="shared" si="1"/>
        <v>0.99999587299529713</v>
      </c>
      <c r="E97" s="87" t="str">
        <f t="shared" si="2"/>
        <v>-0.00319107755230389j</v>
      </c>
      <c r="F97" s="87" t="str">
        <f t="shared" si="3"/>
        <v>0.999995872995297-0.00319107755230389j</v>
      </c>
      <c r="G97" s="87">
        <f t="shared" si="4"/>
        <v>8.3774611255724623E-6</v>
      </c>
      <c r="H97" s="87">
        <f t="shared" si="5"/>
        <v>-0.18283540980481028</v>
      </c>
      <c r="J97" s="87">
        <f t="shared" si="6"/>
        <v>14.187192118226601</v>
      </c>
      <c r="K97" s="87" t="str">
        <f t="shared" si="7"/>
        <v>1+0.143813887588456j</v>
      </c>
      <c r="L97" s="87">
        <f t="shared" si="8"/>
        <v>0.99885247075942696</v>
      </c>
      <c r="M97" s="87" t="str">
        <f t="shared" si="9"/>
        <v>0.0103199919629323j</v>
      </c>
      <c r="N97" s="87" t="str">
        <f t="shared" si="10"/>
        <v>0.998852470759427+0.0103199919629323j</v>
      </c>
      <c r="O97" s="87" t="str">
        <f t="shared" si="11"/>
        <v>1.00252940075221+0.133621126379769j</v>
      </c>
      <c r="P97" s="87" t="str">
        <f t="shared" si="12"/>
        <v>14.2230772126422+1.89570859100362j</v>
      </c>
      <c r="R97" s="87">
        <f t="shared" si="13"/>
        <v>23.645320197044338</v>
      </c>
      <c r="S97" s="87" t="str">
        <f t="shared" si="14"/>
        <v>1+0.000215397734780512j</v>
      </c>
      <c r="T97" s="87" t="str">
        <f t="shared" si="15"/>
        <v>0.998852470759427+0.0103199919629323j</v>
      </c>
      <c r="U97" s="87" t="str">
        <f t="shared" si="16"/>
        <v>1.00104421703867-0.0101269915585308j</v>
      </c>
      <c r="V97" s="87" t="str">
        <f t="shared" si="17"/>
        <v>23.6700110432789-0.239455958034226j</v>
      </c>
      <c r="X97" s="87" t="str">
        <f t="shared" si="18"/>
        <v>1.08107584406858+0.140580507368995j</v>
      </c>
      <c r="Y97" s="87">
        <f t="shared" si="19"/>
        <v>0.74994749799493832</v>
      </c>
      <c r="Z97" s="87">
        <f t="shared" si="20"/>
        <v>-172.59096940564092</v>
      </c>
      <c r="AB97" s="87" t="str">
        <f t="shared" si="21"/>
        <v>8.99183186375566-0.0909652179494727j</v>
      </c>
      <c r="AC97" s="87">
        <f t="shared" si="22"/>
        <v>19.077407993920243</v>
      </c>
      <c r="AD97" s="87">
        <f t="shared" si="23"/>
        <v>179.42039115486807</v>
      </c>
      <c r="AF97" s="87" t="str">
        <f t="shared" si="24"/>
        <v>4.29819476965748-0.334061644807488j</v>
      </c>
      <c r="AG97" s="87">
        <f t="shared" si="25"/>
        <v>12.691876960759338</v>
      </c>
      <c r="AH97" s="87">
        <f t="shared" si="26"/>
        <v>175.55582687902597</v>
      </c>
      <c r="AJ97" s="87" t="str">
        <f t="shared" si="27"/>
        <v>157499.999677744-7.12428006328866j</v>
      </c>
      <c r="AK97" s="87" t="str">
        <f t="shared" si="28"/>
        <v>30000-2.58477281736615E-06j</v>
      </c>
      <c r="AL97" s="87" t="str">
        <f t="shared" si="43"/>
        <v>10000-7737623.92796271j</v>
      </c>
      <c r="AM97" s="87" t="str">
        <f t="shared" si="44"/>
        <v>963.138354961241-2401332.42229666j</v>
      </c>
      <c r="AN97" s="87" t="str">
        <f t="shared" si="45"/>
        <v>10963.1383549612-2401332.42229666j</v>
      </c>
      <c r="AO97" s="87" t="str">
        <f t="shared" si="46"/>
        <v>29993.6084703379-374.682897185707j</v>
      </c>
      <c r="AP97" s="87" t="str">
        <f t="shared" si="47"/>
        <v>0.160000000043999+0.0000060793740863445j</v>
      </c>
      <c r="AQ97" s="87" t="str">
        <f t="shared" si="29"/>
        <v>1+0.392885468239655j</v>
      </c>
      <c r="AR97" s="87">
        <f t="shared" si="51"/>
        <v>9.9887164480150657E-8</v>
      </c>
      <c r="AS97" s="87" t="str">
        <f t="shared" si="31"/>
        <v>0.0000218665462015623j</v>
      </c>
      <c r="AT97" s="87" t="str">
        <f t="shared" si="32"/>
        <v>9.98871644801507E-08+0.0000218665462015623j</v>
      </c>
      <c r="AU97" s="87" t="str">
        <f t="shared" si="33"/>
        <v>5.45278445223486-13.6946792631179j</v>
      </c>
      <c r="AW97" s="87" t="str">
        <f t="shared" si="48"/>
        <v>0.868150435675533-2.19284931611633j</v>
      </c>
      <c r="AX97" s="87">
        <f t="shared" si="34"/>
        <v>7.4525232410058981</v>
      </c>
      <c r="AY97" s="87">
        <f t="shared" si="35"/>
        <v>111.59864410407612</v>
      </c>
      <c r="AZ97" s="87" t="str">
        <f t="shared" si="36"/>
        <v>7.60678973406974-19.7967038466638j</v>
      </c>
      <c r="BA97" s="87">
        <f t="shared" si="37"/>
        <v>26.529931234926153</v>
      </c>
      <c r="BB97" s="87">
        <f t="shared" si="38"/>
        <v>111.01903525894416</v>
      </c>
      <c r="BD97" s="87" t="str">
        <f t="shared" si="39"/>
        <v>2.99893281253964-9.71530922366031j</v>
      </c>
      <c r="BE97" s="87">
        <f t="shared" si="40"/>
        <v>20.144400201765251</v>
      </c>
      <c r="BF97" s="87">
        <f t="shared" si="41"/>
        <v>107.15447098310206</v>
      </c>
      <c r="BH97" s="87">
        <f t="shared" si="49"/>
        <v>-19.144400201765251</v>
      </c>
      <c r="BI97" s="107">
        <f t="shared" si="50"/>
        <v>-107.15447098310206</v>
      </c>
      <c r="BJ97" s="91"/>
      <c r="BK97" s="91"/>
      <c r="BL97" s="91"/>
      <c r="BM97" s="91"/>
      <c r="BN97" s="42"/>
      <c r="BO97" s="42"/>
      <c r="BP97" s="42"/>
    </row>
    <row r="98" spans="1:68" s="87" customFormat="1">
      <c r="A98" s="87">
        <v>34</v>
      </c>
      <c r="B98" s="87">
        <f t="shared" si="42"/>
        <v>478.6300923226384</v>
      </c>
      <c r="C98" s="87" t="str">
        <f t="shared" si="0"/>
        <v>3007.32156365561j</v>
      </c>
      <c r="D98" s="87">
        <f t="shared" si="1"/>
        <v>0.99999547482932782</v>
      </c>
      <c r="E98" s="87" t="str">
        <f t="shared" si="2"/>
        <v>-0.00334146840406179j</v>
      </c>
      <c r="F98" s="87" t="str">
        <f t="shared" si="3"/>
        <v>0.999995474829328-0.00334146840406179j</v>
      </c>
      <c r="G98" s="87">
        <f t="shared" si="4"/>
        <v>9.1857104352545968E-6</v>
      </c>
      <c r="H98" s="87">
        <f t="shared" si="5"/>
        <v>-0.1914521907343196</v>
      </c>
      <c r="J98" s="87">
        <f t="shared" si="6"/>
        <v>14.187192118226601</v>
      </c>
      <c r="K98" s="87" t="str">
        <f t="shared" si="7"/>
        <v>1+0.150591627300055j</v>
      </c>
      <c r="L98" s="87">
        <f t="shared" si="8"/>
        <v>0.9987417592082749</v>
      </c>
      <c r="M98" s="87" t="str">
        <f t="shared" si="9"/>
        <v>0.0108063582000423j</v>
      </c>
      <c r="N98" s="87" t="str">
        <f t="shared" si="10"/>
        <v>0.998741759208275+0.0108063582000423j</v>
      </c>
      <c r="O98" s="87" t="str">
        <f t="shared" si="11"/>
        <v>1.00277387940938+0.139931360911852j</v>
      </c>
      <c r="P98" s="87" t="str">
        <f t="shared" si="12"/>
        <v>14.2265456783203+1.98523310062135j</v>
      </c>
      <c r="R98" s="87">
        <f t="shared" si="13"/>
        <v>23.645320197044338</v>
      </c>
      <c r="S98" s="87" t="str">
        <f t="shared" si="14"/>
        <v>1+0.000225549117274171j</v>
      </c>
      <c r="T98" s="87" t="str">
        <f t="shared" si="15"/>
        <v>0.998741759208275+0.0108063582000423j</v>
      </c>
      <c r="U98" s="87" t="str">
        <f t="shared" si="16"/>
        <v>1.00114506360997-0.0106065286172641j</v>
      </c>
      <c r="V98" s="87" t="str">
        <f t="shared" si="17"/>
        <v>23.6723955927481-0.250794765334324j</v>
      </c>
      <c r="X98" s="87" t="str">
        <f t="shared" si="18"/>
        <v>1.081383323349+0.147218788857044j</v>
      </c>
      <c r="Y98" s="87">
        <f t="shared" si="19"/>
        <v>0.7593482982353208</v>
      </c>
      <c r="Z98" s="87">
        <f t="shared" si="20"/>
        <v>-172.24745218863001</v>
      </c>
      <c r="AB98" s="87" t="str">
        <f t="shared" si="21"/>
        <v>8.99273771326534-0.0952726366740177j</v>
      </c>
      <c r="AC98" s="87">
        <f t="shared" si="22"/>
        <v>19.078325965139221</v>
      </c>
      <c r="AD98" s="87">
        <f t="shared" si="23"/>
        <v>179.39300845403167</v>
      </c>
      <c r="AF98" s="87" t="str">
        <f t="shared" si="24"/>
        <v>4.29582890694001-0.349622944186907j</v>
      </c>
      <c r="AG98" s="87">
        <f t="shared" si="25"/>
        <v>12.689611379022661</v>
      </c>
      <c r="AH98" s="87">
        <f t="shared" si="26"/>
        <v>175.34714591805346</v>
      </c>
      <c r="AJ98" s="87" t="str">
        <f t="shared" si="27"/>
        <v>157499.999646653-7.46003703710681j</v>
      </c>
      <c r="AK98" s="87" t="str">
        <f t="shared" si="28"/>
        <v>30000-2.70658940729005E-06j</v>
      </c>
      <c r="AL98" s="87" t="str">
        <f t="shared" si="43"/>
        <v>10000-7389373.48462651j</v>
      </c>
      <c r="AM98" s="87" t="str">
        <f t="shared" si="44"/>
        <v>963.138281142558-2293254.7389599j</v>
      </c>
      <c r="AN98" s="87" t="str">
        <f t="shared" si="45"/>
        <v>10963.1382811426-2293254.7389599j</v>
      </c>
      <c r="AO98" s="87" t="str">
        <f t="shared" si="46"/>
        <v>29992.992024269-392.330133343564j</v>
      </c>
      <c r="AP98" s="87" t="str">
        <f t="shared" si="47"/>
        <v>0.160000000048244+6.36588616006004E-06j</v>
      </c>
      <c r="AQ98" s="87" t="str">
        <f t="shared" si="29"/>
        <v>1+0.411401589908087j</v>
      </c>
      <c r="AR98" s="87">
        <f t="shared" si="51"/>
        <v>9.9876278312734718E-8</v>
      </c>
      <c r="AS98" s="87" t="str">
        <f t="shared" si="31"/>
        <v>0.0000228970847749298j</v>
      </c>
      <c r="AT98" s="87" t="str">
        <f t="shared" si="32"/>
        <v>9.98762783127347E-08+0.0000228970847749298j</v>
      </c>
      <c r="AU98" s="87" t="str">
        <f t="shared" si="33"/>
        <v>5.44727394351804-13.0783437933307j</v>
      </c>
      <c r="AW98" s="87" t="str">
        <f t="shared" si="48"/>
        <v>0.867268434747162-2.09431398037755j</v>
      </c>
      <c r="AX98" s="87">
        <f t="shared" si="34"/>
        <v>7.1081992914466667</v>
      </c>
      <c r="AY98" s="87">
        <f t="shared" si="35"/>
        <v>112.49474996066148</v>
      </c>
      <c r="AZ98" s="87" t="str">
        <f t="shared" si="36"/>
        <v>7.59958674574158-18.9162432652426j</v>
      </c>
      <c r="BA98" s="87">
        <f t="shared" si="37"/>
        <v>26.186525256585909</v>
      </c>
      <c r="BB98" s="87">
        <f t="shared" si="38"/>
        <v>111.8877584146931</v>
      </c>
      <c r="BD98" s="87" t="str">
        <f t="shared" si="39"/>
        <v>2.99341659219208-9.30003148067118j</v>
      </c>
      <c r="BE98" s="87">
        <f t="shared" si="40"/>
        <v>19.797810670469357</v>
      </c>
      <c r="BF98" s="87">
        <f t="shared" si="41"/>
        <v>107.84189587871489</v>
      </c>
      <c r="BH98" s="87">
        <f t="shared" si="49"/>
        <v>-18.797810670469357</v>
      </c>
      <c r="BI98" s="107">
        <f t="shared" si="50"/>
        <v>-107.84189587871489</v>
      </c>
      <c r="BJ98" s="91"/>
      <c r="BK98" s="91"/>
      <c r="BL98" s="91"/>
      <c r="BM98" s="91"/>
      <c r="BN98" s="42"/>
      <c r="BO98" s="42"/>
      <c r="BP98" s="42"/>
    </row>
    <row r="99" spans="1:68" s="87" customFormat="1">
      <c r="A99" s="87">
        <v>35</v>
      </c>
      <c r="B99" s="87">
        <f t="shared" si="42"/>
        <v>501.18723362727235</v>
      </c>
      <c r="C99" s="87" t="str">
        <f t="shared" si="0"/>
        <v>3149.05226247286j</v>
      </c>
      <c r="D99" s="87">
        <f t="shared" si="1"/>
        <v>0.99999503824902414</v>
      </c>
      <c r="E99" s="87" t="str">
        <f t="shared" si="2"/>
        <v>-0.00349894695830318j</v>
      </c>
      <c r="F99" s="87" t="str">
        <f t="shared" si="3"/>
        <v>0.999995038249024-0.00349894695830318j</v>
      </c>
      <c r="G99" s="87">
        <f t="shared" si="4"/>
        <v>1.0071939584649917E-5</v>
      </c>
      <c r="H99" s="87">
        <f t="shared" si="5"/>
        <v>-0.20047507004287177</v>
      </c>
      <c r="J99" s="87">
        <f t="shared" si="6"/>
        <v>14.187192118226601</v>
      </c>
      <c r="K99" s="87" t="str">
        <f t="shared" si="7"/>
        <v>1+0.157688792043328j</v>
      </c>
      <c r="L99" s="87">
        <f t="shared" si="8"/>
        <v>0.99862036640637553</v>
      </c>
      <c r="M99" s="87" t="str">
        <f t="shared" si="9"/>
        <v>0.0113156461717282j</v>
      </c>
      <c r="N99" s="87" t="str">
        <f t="shared" si="10"/>
        <v>0.998620366406376+0.0113156461717282j</v>
      </c>
      <c r="O99" s="87" t="str">
        <f t="shared" si="11"/>
        <v>1.00304203541691+0.146540896018167j</v>
      </c>
      <c r="P99" s="87" t="str">
        <f t="shared" si="12"/>
        <v>14.2303500591168+2.0790038449868j</v>
      </c>
      <c r="R99" s="87">
        <f t="shared" si="13"/>
        <v>23.645320197044338</v>
      </c>
      <c r="S99" s="87" t="str">
        <f t="shared" si="14"/>
        <v>1+0.000236178919685465j</v>
      </c>
      <c r="T99" s="87" t="str">
        <f t="shared" si="15"/>
        <v>0.998620366406376+0.0113156461717282j</v>
      </c>
      <c r="U99" s="87" t="str">
        <f t="shared" si="16"/>
        <v>1.00125566040653-0.0111090022135604j</v>
      </c>
      <c r="V99" s="87" t="str">
        <f t="shared" si="17"/>
        <v>23.6750106894155-0.26267591440931j</v>
      </c>
      <c r="X99" s="87" t="str">
        <f t="shared" si="18"/>
        <v>1.08172057435447+0.154171840230773j</v>
      </c>
      <c r="Y99" s="87">
        <f t="shared" si="19"/>
        <v>0.76963717015582844</v>
      </c>
      <c r="Z99" s="87">
        <f t="shared" si="20"/>
        <v>-171.88856825582354</v>
      </c>
      <c r="AB99" s="87" t="str">
        <f t="shared" si="21"/>
        <v>8.99373114370768-0.0997860817516373j</v>
      </c>
      <c r="AC99" s="87">
        <f t="shared" si="22"/>
        <v>19.079332600932798</v>
      </c>
      <c r="AD99" s="87">
        <f t="shared" si="23"/>
        <v>179.3643253659007</v>
      </c>
      <c r="AF99" s="87" t="str">
        <f t="shared" si="24"/>
        <v>4.29323762006288-0.36589080953908j</v>
      </c>
      <c r="AG99" s="87">
        <f t="shared" si="25"/>
        <v>12.68712857093184</v>
      </c>
      <c r="AH99" s="87">
        <f t="shared" si="26"/>
        <v>175.12874310476269</v>
      </c>
      <c r="AJ99" s="87" t="str">
        <f t="shared" si="27"/>
        <v>157499.999612563-7.8116177493808j</v>
      </c>
      <c r="AK99" s="87" t="str">
        <f t="shared" si="28"/>
        <v>30000-2.83414703622557E-06j</v>
      </c>
      <c r="AL99" s="87" t="str">
        <f t="shared" si="43"/>
        <v>10000-7056796.89316166j</v>
      </c>
      <c r="AM99" s="87" t="str">
        <f t="shared" si="44"/>
        <v>963.138200202014-2190041.35638647j</v>
      </c>
      <c r="AN99" s="87" t="str">
        <f t="shared" si="45"/>
        <v>10963.138200202-2190041.35638647j</v>
      </c>
      <c r="AO99" s="87" t="str">
        <f t="shared" si="46"/>
        <v>29992.3161444649-410.807425506341j</v>
      </c>
      <c r="AP99" s="87" t="str">
        <f t="shared" si="47"/>
        <v>0.160000000052898+6.66590113180403E-06j</v>
      </c>
      <c r="AQ99" s="87" t="str">
        <f t="shared" si="29"/>
        <v>1+0.430790349506287j</v>
      </c>
      <c r="AR99" s="87">
        <f t="shared" si="51"/>
        <v>9.9864341867523567E-8</v>
      </c>
      <c r="AS99" s="87" t="str">
        <f t="shared" si="31"/>
        <v>0.0000239761911349706j</v>
      </c>
      <c r="AT99" s="87" t="str">
        <f t="shared" si="32"/>
        <v>9.98643418675236E-08+0.0000239761911349706j</v>
      </c>
      <c r="AU99" s="87" t="str">
        <f t="shared" si="33"/>
        <v>5.44224828215286-12.489745004587j</v>
      </c>
      <c r="AW99" s="87" t="str">
        <f t="shared" si="48"/>
        <v>0.866463980024129-2.00022028692014j</v>
      </c>
      <c r="AX99" s="87">
        <f t="shared" si="34"/>
        <v>6.7684362330312204</v>
      </c>
      <c r="AY99" s="87">
        <f t="shared" si="35"/>
        <v>113.42150229788822</v>
      </c>
      <c r="AZ99" s="87" t="str">
        <f t="shared" si="36"/>
        <v>7.59314993697202-18.0759045342951j</v>
      </c>
      <c r="BA99" s="87">
        <f t="shared" si="37"/>
        <v>25.847768833964011</v>
      </c>
      <c r="BB99" s="87">
        <f t="shared" si="38"/>
        <v>112.78582766378894</v>
      </c>
      <c r="BD99" s="87" t="str">
        <f t="shared" si="39"/>
        <v>2.9880735354313-8.90445219130598j</v>
      </c>
      <c r="BE99" s="87">
        <f t="shared" si="40"/>
        <v>19.45556480396305</v>
      </c>
      <c r="BF99" s="87">
        <f t="shared" si="41"/>
        <v>108.55024540265094</v>
      </c>
      <c r="BH99" s="87">
        <f t="shared" si="49"/>
        <v>-18.45556480396305</v>
      </c>
      <c r="BI99" s="107">
        <f t="shared" si="50"/>
        <v>-108.55024540265094</v>
      </c>
      <c r="BJ99" s="91"/>
      <c r="BK99" s="91"/>
      <c r="BL99" s="91"/>
      <c r="BM99" s="91"/>
      <c r="BN99" s="42"/>
      <c r="BO99" s="42"/>
      <c r="BP99" s="42"/>
    </row>
    <row r="100" spans="1:68" s="87" customFormat="1">
      <c r="A100" s="87">
        <v>36</v>
      </c>
      <c r="B100" s="87">
        <f t="shared" si="42"/>
        <v>524.80746024977259</v>
      </c>
      <c r="C100" s="87" t="str">
        <f t="shared" si="0"/>
        <v>3297.46252333961j</v>
      </c>
      <c r="D100" s="87">
        <f t="shared" si="1"/>
        <v>0.99999455954824035</v>
      </c>
      <c r="E100" s="87" t="str">
        <f t="shared" si="2"/>
        <v>-0.00366384724815512j</v>
      </c>
      <c r="F100" s="87" t="str">
        <f t="shared" si="3"/>
        <v>0.99999455954824-0.00366384724815512j</v>
      </c>
      <c r="G100" s="87">
        <f t="shared" si="4"/>
        <v>1.104367222322068E-5</v>
      </c>
      <c r="H100" s="87">
        <f t="shared" si="5"/>
        <v>-0.20992318685447417</v>
      </c>
      <c r="J100" s="87">
        <f t="shared" si="6"/>
        <v>14.187192118226601</v>
      </c>
      <c r="K100" s="87" t="str">
        <f t="shared" si="7"/>
        <v>1+0.165120435856231j</v>
      </c>
      <c r="L100" s="87">
        <f t="shared" si="8"/>
        <v>0.99848726184592407</v>
      </c>
      <c r="M100" s="87" t="str">
        <f t="shared" si="9"/>
        <v>0.0118489361460595j</v>
      </c>
      <c r="N100" s="87" t="str">
        <f t="shared" si="10"/>
        <v>0.998487261845924+0.0118489361460595j</v>
      </c>
      <c r="O100" s="87" t="str">
        <f t="shared" si="11"/>
        <v>1.00333617147434+0.153464120658001j</v>
      </c>
      <c r="P100" s="87" t="str">
        <f t="shared" si="12"/>
        <v>14.2345230238724+2.17722496302977j</v>
      </c>
      <c r="R100" s="87">
        <f t="shared" si="13"/>
        <v>23.645320197044338</v>
      </c>
      <c r="S100" s="87" t="str">
        <f t="shared" si="14"/>
        <v>1+0.000247309689250471j</v>
      </c>
      <c r="T100" s="87" t="str">
        <f t="shared" si="15"/>
        <v>0.998487261845924+0.0118489361460595j</v>
      </c>
      <c r="U100" s="87" t="str">
        <f t="shared" si="16"/>
        <v>1.00137695231152-0.01163554340728j</v>
      </c>
      <c r="V100" s="87" t="str">
        <f t="shared" si="17"/>
        <v>23.6778786753463-0.275126149531744j</v>
      </c>
      <c r="X100" s="87" t="str">
        <f t="shared" si="18"/>
        <v>1.08209049103964+0.161454780775965j</v>
      </c>
      <c r="Y100" s="87">
        <f t="shared" si="19"/>
        <v>0.78089606811125001</v>
      </c>
      <c r="Z100" s="87">
        <f t="shared" si="20"/>
        <v>-171.51371130436382</v>
      </c>
      <c r="AB100" s="87" t="str">
        <f t="shared" si="21"/>
        <v>8.99482064245063-0.104515712873501j</v>
      </c>
      <c r="AC100" s="87">
        <f t="shared" si="22"/>
        <v>19.080436475821813</v>
      </c>
      <c r="AD100" s="87">
        <f t="shared" si="23"/>
        <v>179.33427913697784</v>
      </c>
      <c r="AF100" s="87" t="str">
        <f t="shared" si="24"/>
        <v>4.29039972708347-0.382894626185507j</v>
      </c>
      <c r="AG100" s="87">
        <f t="shared" si="25"/>
        <v>12.684407850660048</v>
      </c>
      <c r="AH100" s="87">
        <f t="shared" si="26"/>
        <v>174.90017685220573</v>
      </c>
      <c r="AJ100" s="87" t="str">
        <f t="shared" si="27"/>
        <v>157499.999575183-8.17976794989647j</v>
      </c>
      <c r="AK100" s="87" t="str">
        <f t="shared" si="28"/>
        <v>30000-2.96771627100565E-06j</v>
      </c>
      <c r="AL100" s="87" t="str">
        <f t="shared" si="43"/>
        <v>10000-6739188.71402852j</v>
      </c>
      <c r="AM100" s="87" t="str">
        <f t="shared" si="44"/>
        <v>963.13811145247-2091473.3451539j</v>
      </c>
      <c r="AN100" s="87" t="str">
        <f t="shared" si="45"/>
        <v>10963.1381114525-2091473.3451539j</v>
      </c>
      <c r="AO100" s="87" t="str">
        <f t="shared" si="46"/>
        <v>29991.5751049251-430.153651324154j</v>
      </c>
      <c r="AP100" s="87" t="str">
        <f t="shared" si="47"/>
        <v>0.160000000058002+6.98005537355446E-06j</v>
      </c>
      <c r="AQ100" s="87" t="str">
        <f t="shared" si="29"/>
        <v>1+0.451092873192859j</v>
      </c>
      <c r="AR100" s="87">
        <f t="shared" si="51"/>
        <v>9.9851253815610093E-8</v>
      </c>
      <c r="AS100" s="87" t="str">
        <f t="shared" si="31"/>
        <v>0.0000251061542109527j</v>
      </c>
      <c r="AT100" s="87" t="str">
        <f t="shared" si="32"/>
        <v>9.98512538156101E-08+0.0000251061542109527j</v>
      </c>
      <c r="AU100" s="87" t="str">
        <f t="shared" si="33"/>
        <v>5.43766480980237-11.9276349469833j</v>
      </c>
      <c r="AW100" s="87" t="str">
        <f t="shared" si="48"/>
        <v>0.865730243210743-1.9103687379146j</v>
      </c>
      <c r="AX100" s="87">
        <f t="shared" si="34"/>
        <v>6.433537219559053</v>
      </c>
      <c r="AY100" s="87">
        <f t="shared" si="35"/>
        <v>114.37881774563058</v>
      </c>
      <c r="AZ100" s="87" t="str">
        <f t="shared" si="36"/>
        <v>7.5874247119314-17.2739065720119j</v>
      </c>
      <c r="BA100" s="87">
        <f t="shared" si="37"/>
        <v>25.513973695380862</v>
      </c>
      <c r="BB100" s="87">
        <f t="shared" si="38"/>
        <v>113.71309688260843</v>
      </c>
      <c r="BD100" s="87" t="str">
        <f t="shared" si="39"/>
        <v>2.98285887541899-8.52772896962924j</v>
      </c>
      <c r="BE100" s="87">
        <f t="shared" si="40"/>
        <v>19.11794507021909</v>
      </c>
      <c r="BF100" s="87">
        <f t="shared" si="41"/>
        <v>109.27899459783636</v>
      </c>
      <c r="BH100" s="87">
        <f t="shared" si="49"/>
        <v>-18.11794507021909</v>
      </c>
      <c r="BI100" s="107">
        <f t="shared" si="50"/>
        <v>-109.27899459783636</v>
      </c>
      <c r="BJ100" s="91"/>
      <c r="BK100" s="91"/>
      <c r="BL100" s="91"/>
      <c r="BM100" s="91"/>
      <c r="BN100" s="42"/>
      <c r="BO100" s="42"/>
      <c r="BP100" s="42"/>
    </row>
    <row r="101" spans="1:68" s="87" customFormat="1">
      <c r="A101" s="87">
        <v>37</v>
      </c>
      <c r="B101" s="87">
        <f t="shared" si="42"/>
        <v>549.54087385762455</v>
      </c>
      <c r="C101" s="87" t="str">
        <f t="shared" si="0"/>
        <v>3452.86714431686j</v>
      </c>
      <c r="D101" s="87">
        <f t="shared" si="1"/>
        <v>0.99999403466326831</v>
      </c>
      <c r="E101" s="87" t="str">
        <f t="shared" si="2"/>
        <v>-0.00383651904924096j</v>
      </c>
      <c r="F101" s="87" t="str">
        <f t="shared" si="3"/>
        <v>0.999994034663268-0.00383651904924096j</v>
      </c>
      <c r="G101" s="87">
        <f t="shared" si="4"/>
        <v>1.2109157910453865E-5</v>
      </c>
      <c r="H101" s="87">
        <f t="shared" si="5"/>
        <v>-0.21981658233626639</v>
      </c>
      <c r="J101" s="87">
        <f t="shared" si="6"/>
        <v>14.187192118226601</v>
      </c>
      <c r="K101" s="87" t="str">
        <f t="shared" si="7"/>
        <v>1+0.172902322251667j</v>
      </c>
      <c r="L101" s="87">
        <f t="shared" si="8"/>
        <v>0.99834131559758188</v>
      </c>
      <c r="M101" s="87" t="str">
        <f t="shared" si="9"/>
        <v>0.0124073593025711j</v>
      </c>
      <c r="N101" s="87" t="str">
        <f t="shared" si="10"/>
        <v>0.998341315597582+0.0124073593025711j</v>
      </c>
      <c r="O101" s="87" t="str">
        <f t="shared" si="11"/>
        <v>1.00365881616885+0.160716144063642j</v>
      </c>
      <c r="P101" s="87" t="str">
        <f t="shared" si="12"/>
        <v>14.2391004461393+2.28011081233147j</v>
      </c>
      <c r="R101" s="87">
        <f t="shared" si="13"/>
        <v>23.645320197044338</v>
      </c>
      <c r="S101" s="87" t="str">
        <f t="shared" si="14"/>
        <v>1+0.000258965035823764j</v>
      </c>
      <c r="T101" s="87" t="str">
        <f t="shared" si="15"/>
        <v>0.998341315597582+0.0124073593025711j</v>
      </c>
      <c r="U101" s="87" t="str">
        <f t="shared" si="16"/>
        <v>1.00150997621995-0.0121873440417155j</v>
      </c>
      <c r="V101" s="87" t="str">
        <f t="shared" si="17"/>
        <v>23.681024068255-0.288173652217903j</v>
      </c>
      <c r="X101" s="87" t="str">
        <f t="shared" si="18"/>
        <v>1.08249625095567+0.169083484649012j</v>
      </c>
      <c r="Y101" s="87">
        <f t="shared" si="19"/>
        <v>0.79321413002245977</v>
      </c>
      <c r="Z101" s="87">
        <f t="shared" si="20"/>
        <v>-171.12226292751521</v>
      </c>
      <c r="AB101" s="87" t="str">
        <f t="shared" si="21"/>
        <v>8.9960155233541-0.109472235715055j</v>
      </c>
      <c r="AC101" s="87">
        <f t="shared" si="22"/>
        <v>19.081646995698598</v>
      </c>
      <c r="AD101" s="87">
        <f t="shared" si="23"/>
        <v>179.30280383765395</v>
      </c>
      <c r="AF101" s="87" t="str">
        <f t="shared" si="24"/>
        <v>4.28729211522218-0.400664599459495j</v>
      </c>
      <c r="AG101" s="87">
        <f t="shared" si="25"/>
        <v>12.681426591032674</v>
      </c>
      <c r="AH101" s="87">
        <f t="shared" si="26"/>
        <v>174.66098718185967</v>
      </c>
      <c r="AJ101" s="87" t="str">
        <f t="shared" si="27"/>
        <v>157499.999534198-8.56526853453946j</v>
      </c>
      <c r="AK101" s="87" t="str">
        <f t="shared" si="28"/>
        <v>30000-3.10758042988518E-06j</v>
      </c>
      <c r="AL101" s="87" t="str">
        <f t="shared" si="43"/>
        <v>10000-6435875.25769654j</v>
      </c>
      <c r="AM101" s="87" t="str">
        <f t="shared" si="44"/>
        <v>963.138014140566-1997341.62929508j</v>
      </c>
      <c r="AN101" s="87" t="str">
        <f t="shared" si="45"/>
        <v>10963.1380141406-1997341.62929508j</v>
      </c>
      <c r="AO101" s="87" t="str">
        <f t="shared" si="46"/>
        <v>29990.7626288448-450.409484937979j</v>
      </c>
      <c r="AP101" s="87" t="str">
        <f t="shared" si="47"/>
        <v>0.160000000063598+7.30901524857622E-06j</v>
      </c>
      <c r="AQ101" s="87" t="str">
        <f t="shared" si="29"/>
        <v>1+0.472352225342546j</v>
      </c>
      <c r="AR101" s="87">
        <f t="shared" si="51"/>
        <v>9.9836903052056966E-8</v>
      </c>
      <c r="AS101" s="87" t="str">
        <f t="shared" si="31"/>
        <v>0.0000262893708060568j</v>
      </c>
      <c r="AT101" s="87" t="str">
        <f t="shared" si="32"/>
        <v>9.9836903052057E-08+0.0000262893708060568j</v>
      </c>
      <c r="AU101" s="87" t="str">
        <f t="shared" si="33"/>
        <v>5.43348462110034-11.390821786182j</v>
      </c>
      <c r="AW101" s="87" t="str">
        <f t="shared" si="48"/>
        <v>0.865060996212159-1.8245688223923j</v>
      </c>
      <c r="AX101" s="87">
        <f t="shared" si="34"/>
        <v>6.1038139227823427</v>
      </c>
      <c r="AY101" s="87">
        <f t="shared" si="35"/>
        <v>115.36647402260658</v>
      </c>
      <c r="AZ101" s="87" t="str">
        <f t="shared" si="36"/>
        <v>7.58236252236947-16.5085496109543j</v>
      </c>
      <c r="BA101" s="87">
        <f t="shared" si="37"/>
        <v>25.185460918480956</v>
      </c>
      <c r="BB101" s="87">
        <f t="shared" si="38"/>
        <v>114.66927786026049</v>
      </c>
      <c r="BD101" s="87" t="str">
        <f t="shared" si="39"/>
        <v>2.97772905183653-8.16905884347811j</v>
      </c>
      <c r="BE101" s="87">
        <f t="shared" si="40"/>
        <v>18.785240513815019</v>
      </c>
      <c r="BF101" s="87">
        <f t="shared" si="41"/>
        <v>110.02746120446616</v>
      </c>
      <c r="BH101" s="87">
        <f t="shared" si="49"/>
        <v>-17.785240513815019</v>
      </c>
      <c r="BI101" s="107">
        <f t="shared" si="50"/>
        <v>-110.02746120446616</v>
      </c>
      <c r="BJ101" s="91"/>
      <c r="BK101" s="91"/>
      <c r="BL101" s="91"/>
      <c r="BM101" s="91"/>
      <c r="BN101" s="42"/>
      <c r="BO101" s="42"/>
      <c r="BP101" s="42"/>
    </row>
    <row r="102" spans="1:68" s="87" customFormat="1">
      <c r="A102" s="87">
        <v>38</v>
      </c>
      <c r="B102" s="87">
        <f t="shared" si="42"/>
        <v>575.43993733715718</v>
      </c>
      <c r="C102" s="87" t="str">
        <f t="shared" si="0"/>
        <v>3615.59575944117j</v>
      </c>
      <c r="D102" s="87">
        <f t="shared" si="1"/>
        <v>0.99999345913834103</v>
      </c>
      <c r="E102" s="87" t="str">
        <f t="shared" si="2"/>
        <v>-0.0040173286216013j</v>
      </c>
      <c r="F102" s="87" t="str">
        <f t="shared" si="3"/>
        <v>0.999993459138341-0.0040173286216013j</v>
      </c>
      <c r="G102" s="87">
        <f t="shared" si="4"/>
        <v>1.3277442188312962E-5</v>
      </c>
      <c r="H102" s="87">
        <f t="shared" si="5"/>
        <v>-0.23017624221702065</v>
      </c>
      <c r="J102" s="87">
        <f t="shared" si="6"/>
        <v>14.187192118226601</v>
      </c>
      <c r="K102" s="87" t="str">
        <f t="shared" si="7"/>
        <v>1+0.181050957654017j</v>
      </c>
      <c r="L102" s="87">
        <f t="shared" si="8"/>
        <v>0.99818128871846568</v>
      </c>
      <c r="M102" s="87" t="str">
        <f t="shared" si="9"/>
        <v>0.0129921001316471j</v>
      </c>
      <c r="N102" s="87" t="str">
        <f t="shared" si="10"/>
        <v>0.998181288718466+0.0129921001316471j</v>
      </c>
      <c r="O102" s="87" t="str">
        <f t="shared" si="11"/>
        <v>1.00401274652729+0.168312835971292j</v>
      </c>
      <c r="P102" s="87" t="str">
        <f t="shared" si="12"/>
        <v>14.244121724131+2.38788653988828j</v>
      </c>
      <c r="R102" s="87">
        <f t="shared" si="13"/>
        <v>23.645320197044338</v>
      </c>
      <c r="S102" s="87" t="str">
        <f t="shared" si="14"/>
        <v>1+0.000271169681958088j</v>
      </c>
      <c r="T102" s="87" t="str">
        <f t="shared" si="15"/>
        <v>0.998181288718466+0.0129921001316471j</v>
      </c>
      <c r="U102" s="87" t="str">
        <f t="shared" si="16"/>
        <v>1.00165587008868-0.0127656607308737j</v>
      </c>
      <c r="V102" s="87" t="str">
        <f t="shared" si="17"/>
        <v>23.6844737754959-0.301848135508344j</v>
      </c>
      <c r="X102" s="87" t="str">
        <f t="shared" si="18"/>
        <v>1.08294134350525+0.177074622761852j</v>
      </c>
      <c r="Y102" s="87">
        <f t="shared" si="19"/>
        <v>0.8066882333960308</v>
      </c>
      <c r="Z102" s="87">
        <f t="shared" si="20"/>
        <v>-170.71359423828696</v>
      </c>
      <c r="AB102" s="87" t="str">
        <f t="shared" si="21"/>
        <v>8.99732600806121-0.114666937751592j</v>
      </c>
      <c r="AC102" s="87">
        <f t="shared" si="22"/>
        <v>19.082974478871911</v>
      </c>
      <c r="AD102" s="87">
        <f t="shared" si="23"/>
        <v>179.26983017984045</v>
      </c>
      <c r="AF102" s="87" t="str">
        <f t="shared" si="24"/>
        <v>4.28388957680902-0.419231713481172j</v>
      </c>
      <c r="AG102" s="87">
        <f t="shared" si="25"/>
        <v>12.678160047044981</v>
      </c>
      <c r="AH102" s="87">
        <f t="shared" si="26"/>
        <v>174.41069520562661</v>
      </c>
      <c r="AJ102" s="87" t="str">
        <f t="shared" si="27"/>
        <v>157499.999489258-8.96893720167923j</v>
      </c>
      <c r="AK102" s="87" t="str">
        <f t="shared" si="28"/>
        <v>30000-3.25403618349705E-06j</v>
      </c>
      <c r="AL102" s="87" t="str">
        <f t="shared" si="43"/>
        <v>10000-6146213.15565899j</v>
      </c>
      <c r="AM102" s="87" t="str">
        <f t="shared" si="44"/>
        <v>963.1379074402-1907446.54282024j</v>
      </c>
      <c r="AN102" s="87" t="str">
        <f t="shared" si="45"/>
        <v>10963.1379074402-1907446.54282024j</v>
      </c>
      <c r="AO102" s="87" t="str">
        <f t="shared" si="46"/>
        <v>29989.8718358015-471.617476361084j</v>
      </c>
      <c r="AP102" s="87" t="str">
        <f t="shared" si="47"/>
        <v>0.160000000069734+0.0000076534785248676j</v>
      </c>
      <c r="AQ102" s="87" t="str">
        <f t="shared" si="29"/>
        <v>1+0.494613499891552j</v>
      </c>
      <c r="AR102" s="87">
        <f t="shared" si="51"/>
        <v>9.9821167752722963E-8</v>
      </c>
      <c r="AS102" s="87" t="str">
        <f t="shared" si="31"/>
        <v>0.000027528350681318j</v>
      </c>
      <c r="AT102" s="87" t="str">
        <f t="shared" si="32"/>
        <v>9.9821167752723E-08+0.000027528350681318j</v>
      </c>
      <c r="AU102" s="87" t="str">
        <f t="shared" si="33"/>
        <v>5.42967223351485-10.8781672844774j</v>
      </c>
      <c r="AW102" s="87" t="str">
        <f t="shared" si="48"/>
        <v>0.8644505582851-1.74263861360288j</v>
      </c>
      <c r="AX102" s="87">
        <f t="shared" si="34"/>
        <v>5.779584851185624</v>
      </c>
      <c r="AY102" s="87">
        <f t="shared" si="35"/>
        <v>116.38409778806148</v>
      </c>
      <c r="AZ102" s="87" t="str">
        <f t="shared" si="36"/>
        <v>7.57792045731204-15.7782116191771j</v>
      </c>
      <c r="BA102" s="87">
        <f t="shared" si="37"/>
        <v>24.862559330057522</v>
      </c>
      <c r="BB102" s="87">
        <f t="shared" si="38"/>
        <v>115.65392796790199</v>
      </c>
      <c r="BD102" s="87" t="str">
        <f t="shared" si="39"/>
        <v>2.97264136434509-7.82767648172791j</v>
      </c>
      <c r="BE102" s="87">
        <f t="shared" si="40"/>
        <v>18.457744898230601</v>
      </c>
      <c r="BF102" s="87">
        <f t="shared" si="41"/>
        <v>110.79479299368812</v>
      </c>
      <c r="BH102" s="87">
        <f t="shared" si="49"/>
        <v>-17.457744898230601</v>
      </c>
      <c r="BI102" s="107">
        <f t="shared" si="50"/>
        <v>-110.79479299368812</v>
      </c>
      <c r="BJ102" s="91"/>
      <c r="BK102" s="91"/>
      <c r="BL102" s="91"/>
      <c r="BM102" s="91"/>
      <c r="BN102" s="42"/>
      <c r="BO102" s="42"/>
      <c r="BP102" s="42"/>
    </row>
    <row r="103" spans="1:68" s="87" customFormat="1">
      <c r="A103" s="87">
        <v>39</v>
      </c>
      <c r="B103" s="87">
        <f t="shared" si="42"/>
        <v>602.55958607435798</v>
      </c>
      <c r="C103" s="87" t="str">
        <f t="shared" si="0"/>
        <v>3785.99353792262j</v>
      </c>
      <c r="D103" s="87">
        <f t="shared" si="1"/>
        <v>0.99999282808780698</v>
      </c>
      <c r="E103" s="87" t="str">
        <f t="shared" si="2"/>
        <v>-0.00420665948658069j</v>
      </c>
      <c r="F103" s="87" t="str">
        <f t="shared" si="3"/>
        <v>0.999992828087807-0.00420665948658069j</v>
      </c>
      <c r="G103" s="87">
        <f t="shared" si="4"/>
        <v>1.4558443367060976E-5</v>
      </c>
      <c r="H103" s="87">
        <f t="shared" si="5"/>
        <v>-0.24102414131044808</v>
      </c>
      <c r="J103" s="87">
        <f t="shared" si="6"/>
        <v>14.187192118226601</v>
      </c>
      <c r="K103" s="87" t="str">
        <f t="shared" si="7"/>
        <v>1+0.189583626411475j</v>
      </c>
      <c r="L103" s="87">
        <f t="shared" si="8"/>
        <v>0.99800582273471805</v>
      </c>
      <c r="M103" s="87" t="str">
        <f t="shared" si="9"/>
        <v>0.0136043989469835j</v>
      </c>
      <c r="N103" s="87" t="str">
        <f t="shared" si="10"/>
        <v>0.998005822734718+0.0136043989469835j</v>
      </c>
      <c r="O103" s="87" t="str">
        <f t="shared" si="11"/>
        <v>1.00440101289915+0.176270869690108j</v>
      </c>
      <c r="P103" s="87" t="str">
        <f t="shared" si="12"/>
        <v>14.2496301337416+2.50078869314045j</v>
      </c>
      <c r="R103" s="87">
        <f t="shared" si="13"/>
        <v>23.645320197044338</v>
      </c>
      <c r="S103" s="87" t="str">
        <f t="shared" si="14"/>
        <v>1+0.000283949515344196j</v>
      </c>
      <c r="T103" s="87" t="str">
        <f t="shared" si="15"/>
        <v>0.998005822734718+0.0136043989469835j</v>
      </c>
      <c r="U103" s="87" t="str">
        <f t="shared" si="16"/>
        <v>1.00181588289456-0.0133718192048316j</v>
      </c>
      <c r="V103" s="87" t="str">
        <f t="shared" si="17"/>
        <v>23.6882573295265-0.31618094671523j</v>
      </c>
      <c r="X103" s="87" t="str">
        <f t="shared" si="18"/>
        <v>1.08342960110629+0.185445707585677j</v>
      </c>
      <c r="Y103" s="87">
        <f t="shared" si="19"/>
        <v>0.82142358005350757</v>
      </c>
      <c r="Z103" s="87">
        <f t="shared" si="20"/>
        <v>-170.28706783541867</v>
      </c>
      <c r="AB103" s="87" t="str">
        <f t="shared" si="21"/>
        <v>8.99876331544685-0.120111727290204j</v>
      </c>
      <c r="AC103" s="87">
        <f t="shared" si="22"/>
        <v>19.084430245099291</v>
      </c>
      <c r="AD103" s="87">
        <f t="shared" si="23"/>
        <v>179.23528532108884</v>
      </c>
      <c r="AF103" s="87" t="str">
        <f t="shared" si="24"/>
        <v>4.28016463371829-0.438627677118551j</v>
      </c>
      <c r="AG103" s="87">
        <f t="shared" si="25"/>
        <v>12.674581164481358</v>
      </c>
      <c r="AH103" s="87">
        <f t="shared" si="26"/>
        <v>174.1488026326214</v>
      </c>
      <c r="AJ103" s="87" t="str">
        <f t="shared" si="27"/>
        <v>157499.999439983-9.39163018661581j</v>
      </c>
      <c r="AK103" s="87" t="str">
        <f t="shared" si="28"/>
        <v>30000-3.40739418413037E-06j</v>
      </c>
      <c r="AL103" s="87" t="str">
        <f t="shared" si="43"/>
        <v>10000-5869587.99576176j</v>
      </c>
      <c r="AM103" s="87" t="str">
        <f t="shared" si="44"/>
        <v>963.137790445599-1821597.40619851j</v>
      </c>
      <c r="AN103" s="87" t="str">
        <f t="shared" si="45"/>
        <v>10963.1377904456-1821597.40619851j</v>
      </c>
      <c r="AO103" s="87" t="str">
        <f t="shared" si="46"/>
        <v>29988.8951839151-493.822133822123j</v>
      </c>
      <c r="AP103" s="87" t="str">
        <f t="shared" si="47"/>
        <v>0.160000000076461+8.01417585521913E-06j</v>
      </c>
      <c r="AQ103" s="87" t="str">
        <f t="shared" si="29"/>
        <v>1+0.517923915987814j</v>
      </c>
      <c r="AR103" s="87">
        <f t="shared" si="51"/>
        <v>9.9803914340093447E-8</v>
      </c>
      <c r="AS103" s="87" t="str">
        <f t="shared" si="31"/>
        <v>0.0000288257218791645j</v>
      </c>
      <c r="AT103" s="87" t="str">
        <f t="shared" si="32"/>
        <v>9.98039143400934E-08+0.0000288257218791645j</v>
      </c>
      <c r="AU103" s="87" t="str">
        <f t="shared" si="33"/>
        <v>5.42619528624582-10.3885843943742j</v>
      </c>
      <c r="AW103" s="87" t="str">
        <f t="shared" si="48"/>
        <v>0.863893747831416-1.66440438439205j</v>
      </c>
      <c r="AX103" s="87">
        <f t="shared" si="34"/>
        <v>5.461173355488226</v>
      </c>
      <c r="AY103" s="87">
        <f t="shared" si="35"/>
        <v>117.43115320546714</v>
      </c>
      <c r="AZ103" s="87" t="str">
        <f t="shared" si="36"/>
        <v>7.57406088091052-15.0813448865833j</v>
      </c>
      <c r="BA103" s="87">
        <f t="shared" si="37"/>
        <v>24.545603600587512</v>
      </c>
      <c r="BB103" s="87">
        <f t="shared" si="38"/>
        <v>116.66643852655599</v>
      </c>
      <c r="BD103" s="87" t="str">
        <f t="shared" si="39"/>
        <v>2.96755363784655-7.50285249016903j</v>
      </c>
      <c r="BE103" s="87">
        <f t="shared" si="40"/>
        <v>18.135754519969566</v>
      </c>
      <c r="BF103" s="87">
        <f t="shared" si="41"/>
        <v>111.57995583808854</v>
      </c>
      <c r="BH103" s="87">
        <f t="shared" si="49"/>
        <v>-17.135754519969566</v>
      </c>
      <c r="BI103" s="107">
        <f t="shared" si="50"/>
        <v>-111.57995583808854</v>
      </c>
      <c r="BJ103" s="91"/>
      <c r="BK103" s="91"/>
      <c r="BL103" s="91"/>
      <c r="BM103" s="91"/>
      <c r="BN103" s="42"/>
      <c r="BO103" s="42"/>
      <c r="BP103" s="42"/>
    </row>
    <row r="104" spans="1:68" s="87" customFormat="1">
      <c r="A104" s="87">
        <v>40</v>
      </c>
      <c r="B104" s="87">
        <f t="shared" si="42"/>
        <v>630.95734448019346</v>
      </c>
      <c r="C104" s="87" t="str">
        <f t="shared" si="0"/>
        <v>3964.421916295j</v>
      </c>
      <c r="D104" s="87">
        <f t="shared" si="1"/>
        <v>0.99999213615465576</v>
      </c>
      <c r="E104" s="87" t="str">
        <f t="shared" si="2"/>
        <v>-0.00440491324032778j</v>
      </c>
      <c r="F104" s="87" t="str">
        <f t="shared" si="3"/>
        <v>0.999992136154656-0.00440491324032778j</v>
      </c>
      <c r="G104" s="87">
        <f t="shared" si="4"/>
        <v>1.5963036774645276E-5</v>
      </c>
      <c r="H104" s="87">
        <f t="shared" si="5"/>
        <v>-0.25238329013792693</v>
      </c>
      <c r="J104" s="87">
        <f t="shared" si="6"/>
        <v>14.187192118226601</v>
      </c>
      <c r="K104" s="87" t="str">
        <f t="shared" si="7"/>
        <v>1+0.198518427458472j</v>
      </c>
      <c r="L104" s="87">
        <f t="shared" si="8"/>
        <v>0.9978134281093739</v>
      </c>
      <c r="M104" s="87" t="str">
        <f t="shared" si="9"/>
        <v>0.01424555451646j</v>
      </c>
      <c r="N104" s="87" t="str">
        <f t="shared" si="10"/>
        <v>0.997813428109374+0.01424555451646j</v>
      </c>
      <c r="O104" s="87" t="str">
        <f t="shared" si="11"/>
        <v>1.00482696642701+0.184607768285551j</v>
      </c>
      <c r="P104" s="87" t="str">
        <f t="shared" si="12"/>
        <v>14.2556732182748+2.61906587518417j</v>
      </c>
      <c r="R104" s="87">
        <f t="shared" si="13"/>
        <v>23.645320197044338</v>
      </c>
      <c r="S104" s="87" t="str">
        <f t="shared" si="14"/>
        <v>1+0.000297331643722125j</v>
      </c>
      <c r="T104" s="87" t="str">
        <f t="shared" si="15"/>
        <v>0.997813428109374+0.01424555451646j</v>
      </c>
      <c r="U104" s="87" t="str">
        <f t="shared" si="16"/>
        <v>1.0019913855957-0.014007219056259j</v>
      </c>
      <c r="V104" s="87" t="str">
        <f t="shared" si="17"/>
        <v>23.6924071470904-0.331205179655385j</v>
      </c>
      <c r="X104" s="87" t="str">
        <f t="shared" si="18"/>
        <v>1.0839652335823+0.194215141153619j</v>
      </c>
      <c r="Y104" s="87">
        <f t="shared" si="19"/>
        <v>0.83753430811442031</v>
      </c>
      <c r="Z104" s="87">
        <f t="shared" si="20"/>
        <v>-169.84204015351847</v>
      </c>
      <c r="AB104" s="87" t="str">
        <f t="shared" si="21"/>
        <v>9.00033976007679-0.125819176105195j</v>
      </c>
      <c r="AC104" s="87">
        <f t="shared" si="22"/>
        <v>19.086026713413876</v>
      </c>
      <c r="AD104" s="87">
        <f t="shared" si="23"/>
        <v>179.1990926538125</v>
      </c>
      <c r="AF104" s="87" t="str">
        <f t="shared" si="24"/>
        <v>4.27608734999885-0.458884855159778j</v>
      </c>
      <c r="AG104" s="87">
        <f t="shared" si="25"/>
        <v>12.670660372613083</v>
      </c>
      <c r="AH104" s="87">
        <f t="shared" si="26"/>
        <v>173.87479130858043</v>
      </c>
      <c r="AJ104" s="87" t="str">
        <f t="shared" si="27"/>
        <v>157499.999385953-9.83424407776843j</v>
      </c>
      <c r="AK104" s="87" t="str">
        <f t="shared" si="28"/>
        <v>30000-0.0000035679797246655j</v>
      </c>
      <c r="AL104" s="87" t="str">
        <f t="shared" si="43"/>
        <v>10000-5605413.01895291j</v>
      </c>
      <c r="AM104" s="87" t="str">
        <f t="shared" si="44"/>
        <v>963.137662163603-1739612.12190113j</v>
      </c>
      <c r="AN104" s="87" t="str">
        <f t="shared" si="45"/>
        <v>10963.1376621636-1739612.12190113j</v>
      </c>
      <c r="AO104" s="87" t="str">
        <f t="shared" si="46"/>
        <v>29987.8244065072-517.070009094713j</v>
      </c>
      <c r="AP104" s="87" t="str">
        <f t="shared" si="47"/>
        <v>0.160000000083839+8.39187232702653E-06j</v>
      </c>
      <c r="AQ104" s="87" t="str">
        <f t="shared" si="29"/>
        <v>1+0.542332918149156j</v>
      </c>
      <c r="AR104" s="87">
        <f t="shared" si="51"/>
        <v>9.9784996349336123E-8</v>
      </c>
      <c r="AS104" s="87" t="str">
        <f t="shared" si="31"/>
        <v>0.0000301842362978485j</v>
      </c>
      <c r="AT104" s="87" t="str">
        <f t="shared" si="32"/>
        <v>9.97849963493361E-08+0.0000301842362978485j</v>
      </c>
      <c r="AU104" s="87" t="str">
        <f t="shared" si="33"/>
        <v>5.42302426560489-9.92103495972165j</v>
      </c>
      <c r="AW104" s="87" t="str">
        <f t="shared" si="48"/>
        <v>0.863385838426037-1.5897002398078j</v>
      </c>
      <c r="AX104" s="87">
        <f t="shared" si="34"/>
        <v>5.1489053181633171</v>
      </c>
      <c r="AY104" s="87">
        <f t="shared" si="35"/>
        <v>118.50693157475243</v>
      </c>
      <c r="AZ104" s="87" t="str">
        <f t="shared" si="36"/>
        <v>7.57075111544625-14.4164727697974j</v>
      </c>
      <c r="BA104" s="87">
        <f t="shared" si="37"/>
        <v>24.234932031577191</v>
      </c>
      <c r="BB104" s="87">
        <f t="shared" si="38"/>
        <v>117.70602422856493</v>
      </c>
      <c r="BD104" s="87" t="str">
        <f t="shared" si="39"/>
        <v>2.96242389757006-7.19389177114541j</v>
      </c>
      <c r="BE104" s="87">
        <f t="shared" si="40"/>
        <v>17.819565690776404</v>
      </c>
      <c r="BF104" s="87">
        <f t="shared" si="41"/>
        <v>112.38172288333284</v>
      </c>
      <c r="BH104" s="87">
        <f t="shared" si="49"/>
        <v>-16.819565690776404</v>
      </c>
      <c r="BI104" s="107">
        <f t="shared" si="50"/>
        <v>-112.38172288333284</v>
      </c>
      <c r="BJ104" s="91"/>
      <c r="BK104" s="91"/>
      <c r="BL104" s="91"/>
      <c r="BM104" s="91"/>
      <c r="BN104" s="42"/>
      <c r="BO104" s="42"/>
      <c r="BP104" s="42"/>
    </row>
    <row r="105" spans="1:68" s="87" customFormat="1">
      <c r="A105" s="87">
        <v>41</v>
      </c>
      <c r="B105" s="87">
        <f t="shared" si="42"/>
        <v>660.69344800759632</v>
      </c>
      <c r="C105" s="87" t="str">
        <f t="shared" si="0"/>
        <v>4151.25936507115j</v>
      </c>
      <c r="D105" s="87">
        <f t="shared" si="1"/>
        <v>0.99999137746504219</v>
      </c>
      <c r="E105" s="87" t="str">
        <f t="shared" si="2"/>
        <v>-0.00461251040563461j</v>
      </c>
      <c r="F105" s="87" t="str">
        <f t="shared" si="3"/>
        <v>0.999991377465042-0.00461251040563461j</v>
      </c>
      <c r="G105" s="87">
        <f t="shared" si="4"/>
        <v>1.7503147071317498E-5</v>
      </c>
      <c r="H105" s="87">
        <f t="shared" si="5"/>
        <v>-0.2642777837497699</v>
      </c>
      <c r="J105" s="87">
        <f t="shared" si="6"/>
        <v>14.187192118226601</v>
      </c>
      <c r="K105" s="87" t="str">
        <f t="shared" si="7"/>
        <v>1+0.207874312705938j</v>
      </c>
      <c r="L105" s="87">
        <f t="shared" si="8"/>
        <v>0.99760247159762894</v>
      </c>
      <c r="M105" s="87" t="str">
        <f t="shared" si="9"/>
        <v>0.0149169268170007j</v>
      </c>
      <c r="N105" s="87" t="str">
        <f t="shared" si="10"/>
        <v>0.997602471597629+0.0149169268170007j</v>
      </c>
      <c r="O105" s="87" t="str">
        <f t="shared" si="11"/>
        <v>1.00529428939284+0.193341954188052j</v>
      </c>
      <c r="P105" s="87" t="str">
        <f t="shared" si="12"/>
        <v>14.2623032189723+2.74297944857926j</v>
      </c>
      <c r="R105" s="87">
        <f t="shared" si="13"/>
        <v>23.645320197044338</v>
      </c>
      <c r="S105" s="87" t="str">
        <f t="shared" si="14"/>
        <v>1+0.000311344452380336j</v>
      </c>
      <c r="T105" s="87" t="str">
        <f t="shared" si="15"/>
        <v>0.997602471597629+0.0149169268170007j</v>
      </c>
      <c r="U105" s="87" t="str">
        <f t="shared" si="16"/>
        <v>1.00218388320128-0.0146733389373708j</v>
      </c>
      <c r="V105" s="87" t="str">
        <f t="shared" si="17"/>
        <v>23.6969588146115-0.346955797533891j</v>
      </c>
      <c r="X105" s="87" t="str">
        <f t="shared" si="18"/>
        <v>1.0845528661363+0.203402266577565j</v>
      </c>
      <c r="Y105" s="87">
        <f t="shared" si="19"/>
        <v>0.85514412901740722</v>
      </c>
      <c r="Z105" s="87">
        <f t="shared" si="20"/>
        <v>-169.37786424192626</v>
      </c>
      <c r="AB105" s="87" t="str">
        <f t="shared" si="21"/>
        <v>9.00206886062408-0.131802566119455j</v>
      </c>
      <c r="AC105" s="87">
        <f t="shared" si="22"/>
        <v>19.087777509635391</v>
      </c>
      <c r="AD105" s="87">
        <f t="shared" si="23"/>
        <v>179.1611715780445</v>
      </c>
      <c r="AF105" s="87" t="str">
        <f t="shared" si="24"/>
        <v>4.27162513252637-0.480036182483453j</v>
      </c>
      <c r="AG105" s="87">
        <f t="shared" si="25"/>
        <v>12.666365359928571</v>
      </c>
      <c r="AH105" s="87">
        <f t="shared" si="26"/>
        <v>173.5881227969312</v>
      </c>
      <c r="AJ105" s="87" t="str">
        <f t="shared" si="27"/>
        <v>157499.999326711-10.2977177184584j</v>
      </c>
      <c r="AK105" s="87" t="str">
        <f t="shared" si="28"/>
        <v>30000-3.73613342856405E-06j</v>
      </c>
      <c r="AL105" s="87" t="str">
        <f t="shared" si="43"/>
        <v>10000-5353127.87468805j</v>
      </c>
      <c r="AM105" s="87" t="str">
        <f t="shared" si="44"/>
        <v>963.137521505237-1661316.78814812j</v>
      </c>
      <c r="AN105" s="87" t="str">
        <f t="shared" si="45"/>
        <v>10963.1375215052-1661316.78814812j</v>
      </c>
      <c r="AO105" s="87" t="str">
        <f t="shared" si="46"/>
        <v>29986.6504427443-541.409785822838j</v>
      </c>
      <c r="AP105" s="87" t="str">
        <f t="shared" si="47"/>
        <v>0.160000000091927+8.78736908514314E-06j</v>
      </c>
      <c r="AQ105" s="87" t="str">
        <f t="shared" si="29"/>
        <v>1+0.567892281141733j</v>
      </c>
      <c r="AR105" s="87">
        <f t="shared" si="51"/>
        <v>9.9764253184955875E-8</v>
      </c>
      <c r="AS105" s="87" t="str">
        <f t="shared" si="31"/>
        <v>0.0000316067755285914j</v>
      </c>
      <c r="AT105" s="87" t="str">
        <f t="shared" si="32"/>
        <v>9.97642531849559E-08+0.0000316067755285914j</v>
      </c>
      <c r="AU105" s="87" t="str">
        <f t="shared" si="33"/>
        <v>5.42013225454872-9.47452751966334j</v>
      </c>
      <c r="AW105" s="87" t="str">
        <f t="shared" si="48"/>
        <v>0.862922518706314-1.51836776617719j</v>
      </c>
      <c r="AX105" s="87">
        <f t="shared" si="34"/>
        <v>4.8431065338059973</v>
      </c>
      <c r="AY105" s="87">
        <f t="shared" si="35"/>
        <v>119.61054241686722</v>
      </c>
      <c r="AZ105" s="87" t="str">
        <f t="shared" si="36"/>
        <v>7.56796316688219-13.7821865892068j</v>
      </c>
      <c r="BA105" s="87">
        <f t="shared" si="37"/>
        <v>23.930884043441392</v>
      </c>
      <c r="BB105" s="87">
        <f t="shared" si="38"/>
        <v>118.77171399491169</v>
      </c>
      <c r="BD105" s="87" t="str">
        <f t="shared" si="39"/>
        <v>2.95721005224722-6.90013194207921j</v>
      </c>
      <c r="BE105" s="87">
        <f t="shared" si="40"/>
        <v>17.509471893734585</v>
      </c>
      <c r="BF105" s="87">
        <f t="shared" si="41"/>
        <v>113.19866521379836</v>
      </c>
      <c r="BH105" s="87">
        <f t="shared" si="49"/>
        <v>-16.509471893734585</v>
      </c>
      <c r="BI105" s="107">
        <f t="shared" si="50"/>
        <v>-113.19866521379836</v>
      </c>
      <c r="BJ105" s="91"/>
      <c r="BK105" s="91"/>
      <c r="BL105" s="91"/>
      <c r="BM105" s="91"/>
      <c r="BN105" s="42"/>
      <c r="BO105" s="42"/>
      <c r="BP105" s="42"/>
    </row>
    <row r="106" spans="1:68" s="87" customFormat="1">
      <c r="A106" s="87">
        <v>42</v>
      </c>
      <c r="B106" s="87">
        <f t="shared" si="42"/>
        <v>691.83097091893671</v>
      </c>
      <c r="C106" s="87" t="str">
        <f t="shared" si="0"/>
        <v>4346.90219152965j</v>
      </c>
      <c r="D106" s="87">
        <f t="shared" si="1"/>
        <v>0.99999054557842326</v>
      </c>
      <c r="E106" s="87" t="str">
        <f t="shared" si="2"/>
        <v>-0.00482989132392183j</v>
      </c>
      <c r="F106" s="87" t="str">
        <f t="shared" si="3"/>
        <v>0.999990545578423-0.00482989132392183j</v>
      </c>
      <c r="G106" s="87">
        <f t="shared" si="4"/>
        <v>1.9191849553233134E-5</v>
      </c>
      <c r="H106" s="87">
        <f t="shared" si="5"/>
        <v>-0.27673285284882543</v>
      </c>
      <c r="J106" s="87">
        <f t="shared" si="6"/>
        <v>14.187192118226601</v>
      </c>
      <c r="K106" s="87" t="str">
        <f t="shared" si="7"/>
        <v>1+0.217671127240847j</v>
      </c>
      <c r="L106" s="87">
        <f t="shared" si="8"/>
        <v>0.99737116238216605</v>
      </c>
      <c r="M106" s="87" t="str">
        <f t="shared" si="9"/>
        <v>0.0156199399192675j</v>
      </c>
      <c r="N106" s="87" t="str">
        <f t="shared" si="10"/>
        <v>0.997371162382166+0.0156199399192675j</v>
      </c>
      <c r="O106" s="87" t="str">
        <f t="shared" si="11"/>
        <v>1.00580702876385+0.202492802577936j</v>
      </c>
      <c r="P106" s="87" t="str">
        <f t="shared" si="12"/>
        <v>14.2695775509354+2.87280429273131j</v>
      </c>
      <c r="R106" s="87">
        <f t="shared" si="13"/>
        <v>23.645320197044338</v>
      </c>
      <c r="S106" s="87" t="str">
        <f t="shared" si="14"/>
        <v>1+0.000326017664364724j</v>
      </c>
      <c r="T106" s="87" t="str">
        <f t="shared" si="15"/>
        <v>0.997371162382166+0.0156199399192675j</v>
      </c>
      <c r="U106" s="87" t="str">
        <f t="shared" si="16"/>
        <v>1.0023950280671-0.0153717422637304j</v>
      </c>
      <c r="V106" s="87" t="str">
        <f t="shared" si="17"/>
        <v>23.7019514025718-0.363469767812344j</v>
      </c>
      <c r="X106" s="87" t="str">
        <f t="shared" si="18"/>
        <v>1.08519758130832+0.213027423434371j</v>
      </c>
      <c r="Y106" s="87">
        <f t="shared" si="19"/>
        <v>0.87438698646000013</v>
      </c>
      <c r="Z106" s="87">
        <f t="shared" si="20"/>
        <v>-168.89389301930737</v>
      </c>
      <c r="AB106" s="87" t="str">
        <f t="shared" si="21"/>
        <v>9.00396545929579-0.138075940638605j</v>
      </c>
      <c r="AC106" s="87">
        <f t="shared" si="22"/>
        <v>19.089697584548674</v>
      </c>
      <c r="AD106" s="87">
        <f t="shared" si="23"/>
        <v>179.12143725595581</v>
      </c>
      <c r="AF106" s="87" t="str">
        <f t="shared" si="24"/>
        <v>4.26674251966032-0.502115058757546j</v>
      </c>
      <c r="AG106" s="87">
        <f t="shared" si="25"/>
        <v>12.661660831840969</v>
      </c>
      <c r="AH106" s="87">
        <f t="shared" si="26"/>
        <v>173.28823801190282</v>
      </c>
      <c r="AJ106" s="87" t="str">
        <f t="shared" si="27"/>
        <v>157499.999261753-10.7830341983201j</v>
      </c>
      <c r="AK106" s="87" t="str">
        <f t="shared" si="28"/>
        <v>30000-0.0000039122119723767j</v>
      </c>
      <c r="AL106" s="87" t="str">
        <f t="shared" si="43"/>
        <v>10000-5112197.43235179j</v>
      </c>
      <c r="AM106" s="87" t="str">
        <f t="shared" si="44"/>
        <v>963.137367276443-1586545.33003936j</v>
      </c>
      <c r="AN106" s="87" t="str">
        <f t="shared" si="45"/>
        <v>10963.1373672764-1586545.33003936j</v>
      </c>
      <c r="AO106" s="87" t="str">
        <f t="shared" si="46"/>
        <v>29985.3633617057-566.892370832752j</v>
      </c>
      <c r="AP106" s="87" t="str">
        <f t="shared" si="47"/>
        <v>0.160000000100796+9.20150503121621E-06j</v>
      </c>
      <c r="AQ106" s="87" t="str">
        <f t="shared" si="29"/>
        <v>1+0.594656219801256j</v>
      </c>
      <c r="AR106" s="87">
        <f t="shared" si="51"/>
        <v>9.9741508757493911E-8</v>
      </c>
      <c r="AS106" s="87" t="str">
        <f t="shared" si="31"/>
        <v>0.0000330963569678246j</v>
      </c>
      <c r="AT106" s="87" t="str">
        <f t="shared" si="32"/>
        <v>9.97415087574939E-08+0.0000330963569678246j</v>
      </c>
      <c r="AU106" s="87" t="str">
        <f t="shared" si="33"/>
        <v>5.41749470424282-9.04811521085658j</v>
      </c>
      <c r="AW106" s="87" t="str">
        <f t="shared" si="48"/>
        <v>0.86249985578294-1.45025569592766j</v>
      </c>
      <c r="AX106" s="87">
        <f t="shared" si="34"/>
        <v>4.5440997982744626</v>
      </c>
      <c r="AY106" s="87">
        <f t="shared" si="35"/>
        <v>120.74090641060114</v>
      </c>
      <c r="AZ106" s="87" t="str">
        <f t="shared" si="36"/>
        <v>7.56567349073549-13.1771426721675j</v>
      </c>
      <c r="BA106" s="87">
        <f t="shared" si="37"/>
        <v>23.633797382823126</v>
      </c>
      <c r="BB106" s="87">
        <f t="shared" si="38"/>
        <v>119.862343666557</v>
      </c>
      <c r="BD106" s="87" t="str">
        <f t="shared" si="39"/>
        <v>2.95186958389579-6.62094180795894j</v>
      </c>
      <c r="BE106" s="87">
        <f t="shared" si="40"/>
        <v>17.205760630115435</v>
      </c>
      <c r="BF106" s="87">
        <f t="shared" si="41"/>
        <v>114.02914442250403</v>
      </c>
      <c r="BH106" s="87">
        <f t="shared" si="49"/>
        <v>-16.205760630115435</v>
      </c>
      <c r="BI106" s="107">
        <f t="shared" si="50"/>
        <v>-114.02914442250403</v>
      </c>
      <c r="BJ106" s="91"/>
      <c r="BK106" s="91"/>
      <c r="BL106" s="91"/>
      <c r="BM106" s="91"/>
      <c r="BN106" s="42"/>
      <c r="BO106" s="42"/>
      <c r="BP106" s="42"/>
    </row>
    <row r="107" spans="1:68" s="87" customFormat="1">
      <c r="A107" s="87">
        <v>43</v>
      </c>
      <c r="B107" s="87">
        <f t="shared" si="42"/>
        <v>724.43596007499025</v>
      </c>
      <c r="C107" s="87" t="str">
        <f t="shared" si="0"/>
        <v>4551.76538033572j</v>
      </c>
      <c r="D107" s="87">
        <f t="shared" si="1"/>
        <v>0.99998963343288394</v>
      </c>
      <c r="E107" s="87" t="str">
        <f t="shared" si="2"/>
        <v>-0.00505751708926191j</v>
      </c>
      <c r="F107" s="87" t="str">
        <f t="shared" si="3"/>
        <v>0.999989633432884-0.00505751708926191j</v>
      </c>
      <c r="G107" s="87">
        <f t="shared" si="4"/>
        <v>2.104348116239329E-5</v>
      </c>
      <c r="H107" s="87">
        <f t="shared" si="5"/>
        <v>-0.28977491732514216</v>
      </c>
      <c r="J107" s="87">
        <f t="shared" si="6"/>
        <v>14.187192118226601</v>
      </c>
      <c r="K107" s="87" t="str">
        <f t="shared" si="7"/>
        <v>1+0.227929651420311j</v>
      </c>
      <c r="L107" s="87">
        <f t="shared" si="8"/>
        <v>0.99711753687084415</v>
      </c>
      <c r="M107" s="87" t="str">
        <f t="shared" si="9"/>
        <v>0.0163560850083049j</v>
      </c>
      <c r="N107" s="87" t="str">
        <f t="shared" si="10"/>
        <v>0.997117536870844+0.0163560850083049j</v>
      </c>
      <c r="O107" s="87" t="str">
        <f t="shared" si="11"/>
        <v>1.00636963330284+0.212080698943343j</v>
      </c>
      <c r="P107" s="87" t="str">
        <f t="shared" si="12"/>
        <v>14.2775593296166+3.00882962047698j</v>
      </c>
      <c r="R107" s="87">
        <f t="shared" si="13"/>
        <v>23.645320197044338</v>
      </c>
      <c r="S107" s="87" t="str">
        <f t="shared" si="14"/>
        <v>1+0.000341382403525179j</v>
      </c>
      <c r="T107" s="87" t="str">
        <f t="shared" si="15"/>
        <v>0.997117536870844+0.0163560850083049j</v>
      </c>
      <c r="U107" s="87" t="str">
        <f t="shared" si="16"/>
        <v>1.00262663454786-0.0161040834896179j</v>
      </c>
      <c r="V107" s="87" t="str">
        <f t="shared" si="17"/>
        <v>23.7074278119691-0.38078621059195j</v>
      </c>
      <c r="X107" s="87" t="str">
        <f t="shared" si="18"/>
        <v>1.08590496536725+0.223112007422668j</v>
      </c>
      <c r="Y107" s="87">
        <f t="shared" si="19"/>
        <v>0.89540773309674671</v>
      </c>
      <c r="Z107" s="87">
        <f t="shared" si="20"/>
        <v>-168.3894830529137</v>
      </c>
      <c r="AB107" s="87" t="str">
        <f t="shared" si="21"/>
        <v>9.00604585344633-0.14465416071919j</v>
      </c>
      <c r="AC107" s="87">
        <f t="shared" si="22"/>
        <v>19.091803343840382</v>
      </c>
      <c r="AD107" s="87">
        <f t="shared" si="23"/>
        <v>179.07980034611938</v>
      </c>
      <c r="AF107" s="87" t="str">
        <f t="shared" si="24"/>
        <v>4.2614009580886-0.525155220922711j</v>
      </c>
      <c r="AG107" s="87">
        <f t="shared" si="25"/>
        <v>12.656508249325251</v>
      </c>
      <c r="AH107" s="87">
        <f t="shared" si="26"/>
        <v>172.97455691555996</v>
      </c>
      <c r="AJ107" s="87" t="str">
        <f t="shared" si="27"/>
        <v>157499.999190529-11.2912229385641j</v>
      </c>
      <c r="AK107" s="87" t="str">
        <f t="shared" si="28"/>
        <v>30000-4.09658884230216E-06j</v>
      </c>
      <c r="AL107" s="87" t="str">
        <f t="shared" si="43"/>
        <v>10000-4882110.64617378j</v>
      </c>
      <c r="AM107" s="87" t="str">
        <f t="shared" si="44"/>
        <v>963.137198167998-1515139.14728741j</v>
      </c>
      <c r="AN107" s="87" t="str">
        <f t="shared" si="45"/>
        <v>10963.137198168-1515139.14728741j</v>
      </c>
      <c r="AO107" s="87" t="str">
        <f t="shared" si="46"/>
        <v>29983.9522792634-593.570988399537j</v>
      </c>
      <c r="AP107" s="87" t="str">
        <f t="shared" si="47"/>
        <v>0.160000000110521+9.63515860310888E-06j</v>
      </c>
      <c r="AQ107" s="87" t="str">
        <f t="shared" si="29"/>
        <v>1+0.622681504029926j</v>
      </c>
      <c r="AR107" s="87">
        <f t="shared" si="51"/>
        <v>9.9716569988698113E-8</v>
      </c>
      <c r="AS107" s="87" t="str">
        <f t="shared" si="31"/>
        <v>0.0000346561402174925j</v>
      </c>
      <c r="AT107" s="87" t="str">
        <f t="shared" si="32"/>
        <v>9.97165699886981E-08+0.0000346561402174925j</v>
      </c>
      <c r="AU107" s="87" t="str">
        <f t="shared" si="33"/>
        <v>5.41508922571818-8.64089376361299j</v>
      </c>
      <c r="AW107" s="87" t="str">
        <f t="shared" si="48"/>
        <v>0.862114261861887-1.38521958745771j</v>
      </c>
      <c r="AX107" s="87">
        <f t="shared" si="34"/>
        <v>4.2522017368848495</v>
      </c>
      <c r="AY107" s="87">
        <f t="shared" si="35"/>
        <v>121.89675058314805</v>
      </c>
      <c r="AZ107" s="87" t="str">
        <f t="shared" si="36"/>
        <v>7.56386279640272-12.6000595367298j</v>
      </c>
      <c r="BA107" s="87">
        <f t="shared" si="37"/>
        <v>23.344005080725225</v>
      </c>
      <c r="BB107" s="87">
        <f t="shared" si="38"/>
        <v>120.97655092926749</v>
      </c>
      <c r="BD107" s="87" t="str">
        <f t="shared" si="39"/>
        <v>2.94635924300228-6.35571988280407j</v>
      </c>
      <c r="BE107" s="87">
        <f t="shared" si="40"/>
        <v>16.908709986210091</v>
      </c>
      <c r="BF107" s="87">
        <f t="shared" si="41"/>
        <v>114.87130749870811</v>
      </c>
      <c r="BH107" s="87">
        <f t="shared" si="49"/>
        <v>-15.908709986210091</v>
      </c>
      <c r="BI107" s="107">
        <f t="shared" si="50"/>
        <v>-114.87130749870811</v>
      </c>
      <c r="BJ107" s="91"/>
      <c r="BK107" s="91"/>
      <c r="BL107" s="91"/>
      <c r="BM107" s="91"/>
      <c r="BN107" s="42"/>
      <c r="BO107" s="42"/>
      <c r="BP107" s="42"/>
    </row>
    <row r="108" spans="1:68" s="87" customFormat="1">
      <c r="A108" s="87">
        <v>44</v>
      </c>
      <c r="B108" s="87">
        <f t="shared" si="42"/>
        <v>758.57757502918378</v>
      </c>
      <c r="C108" s="87" t="str">
        <f t="shared" si="0"/>
        <v>4766.28347377929j</v>
      </c>
      <c r="D108" s="87">
        <f t="shared" si="1"/>
        <v>0.99998863328518839</v>
      </c>
      <c r="E108" s="87" t="str">
        <f t="shared" si="2"/>
        <v>-0.00529587052642143j</v>
      </c>
      <c r="F108" s="87" t="str">
        <f t="shared" si="3"/>
        <v>0.999988633285188-0.00529587052642143j</v>
      </c>
      <c r="G108" s="87">
        <f t="shared" si="4"/>
        <v>2.3073762238499384E-5</v>
      </c>
      <c r="H108" s="87">
        <f t="shared" si="5"/>
        <v>-0.30343164231556513</v>
      </c>
      <c r="J108" s="87">
        <f t="shared" si="6"/>
        <v>14.187192118226601</v>
      </c>
      <c r="K108" s="87" t="str">
        <f t="shared" si="7"/>
        <v>1+0.238671644949498j</v>
      </c>
      <c r="L108" s="87">
        <f t="shared" si="8"/>
        <v>0.99683944202769392</v>
      </c>
      <c r="M108" s="87" t="str">
        <f t="shared" si="9"/>
        <v>0.0171269235465434j</v>
      </c>
      <c r="N108" s="87" t="str">
        <f t="shared" si="10"/>
        <v>0.996839442027694+0.0171269235465434j</v>
      </c>
      <c r="O108" s="87" t="str">
        <f t="shared" si="11"/>
        <v>1.00698699465487+0.222127101260434j</v>
      </c>
      <c r="P108" s="87" t="str">
        <f t="shared" si="12"/>
        <v>14.2863179537243+3.15135986024655j</v>
      </c>
      <c r="R108" s="87">
        <f t="shared" si="13"/>
        <v>23.645320197044338</v>
      </c>
      <c r="S108" s="87" t="str">
        <f t="shared" si="14"/>
        <v>1+0.000357471260533447j</v>
      </c>
      <c r="T108" s="87" t="str">
        <f t="shared" si="15"/>
        <v>0.996839442027694+0.0171269235465434j</v>
      </c>
      <c r="U108" s="87" t="str">
        <f t="shared" si="16"/>
        <v>1.00288069515216-0.0168721150293074j</v>
      </c>
      <c r="V108" s="87" t="str">
        <f t="shared" si="17"/>
        <v>23.7134351563072-0.398946562269338j</v>
      </c>
      <c r="X108" s="87" t="str">
        <f t="shared" si="18"/>
        <v>1.08668115964454+0.233678534744095j</v>
      </c>
      <c r="Y108" s="87">
        <f t="shared" si="19"/>
        <v>0.91836281962986122</v>
      </c>
      <c r="Z108" s="87">
        <f t="shared" si="20"/>
        <v>-167.86399891264674</v>
      </c>
      <c r="AB108" s="87" t="str">
        <f t="shared" si="21"/>
        <v>9.00832794068901-0.151552967338721j</v>
      </c>
      <c r="AC108" s="87">
        <f t="shared" si="22"/>
        <v>19.094112791000839</v>
      </c>
      <c r="AD108" s="87">
        <f t="shared" si="23"/>
        <v>179.03616671522886</v>
      </c>
      <c r="AF108" s="87" t="str">
        <f t="shared" si="24"/>
        <v>4.25555856829405-0.549190590425693j</v>
      </c>
      <c r="AG108" s="87">
        <f t="shared" si="25"/>
        <v>12.650865547463169</v>
      </c>
      <c r="AH108" s="87">
        <f t="shared" si="26"/>
        <v>172.64647829230194</v>
      </c>
      <c r="AJ108" s="87" t="str">
        <f t="shared" si="27"/>
        <v>157499.999112432-11.823361875515j</v>
      </c>
      <c r="AK108" s="87" t="str">
        <f t="shared" si="28"/>
        <v>30000-4.28965512640137E-06j</v>
      </c>
      <c r="AL108" s="87" t="str">
        <f t="shared" si="43"/>
        <v>10000-4662379.47123228j</v>
      </c>
      <c r="AM108" s="87" t="str">
        <f t="shared" si="44"/>
        <v>963.137012744341-1446946.77780506j</v>
      </c>
      <c r="AN108" s="87" t="str">
        <f t="shared" si="45"/>
        <v>10963.1370127443-1446946.77780506j</v>
      </c>
      <c r="AO108" s="87" t="str">
        <f t="shared" si="46"/>
        <v>29982.4052671098-621.501277410018j</v>
      </c>
      <c r="AP108" s="87" t="str">
        <f t="shared" si="47"/>
        <v>0.160000000121184+0.0000100892496381855j</v>
      </c>
      <c r="AQ108" s="87" t="str">
        <f t="shared" si="29"/>
        <v>1+0.652027579213007j</v>
      </c>
      <c r="AR108" s="87">
        <f t="shared" si="51"/>
        <v>9.9689225172474869E-8</v>
      </c>
      <c r="AS108" s="87" t="str">
        <f t="shared" si="31"/>
        <v>0.0000362894337869913j</v>
      </c>
      <c r="AT108" s="87" t="str">
        <f t="shared" si="32"/>
        <v>9.96892251724749E-08+0.0000362894337869913j</v>
      </c>
      <c r="AU108" s="87" t="str">
        <f t="shared" si="33"/>
        <v>5.4128953998546-8.25199958779728j</v>
      </c>
      <c r="AW108" s="87" t="str">
        <f t="shared" si="48"/>
        <v>0.861762463794574-1.32312151939224j</v>
      </c>
      <c r="AX108" s="87">
        <f t="shared" si="34"/>
        <v>3.9677194151208726</v>
      </c>
      <c r="AY108" s="87">
        <f t="shared" si="35"/>
        <v>123.07660613993141</v>
      </c>
      <c r="AZ108" s="87" t="str">
        <f t="shared" si="36"/>
        <v>7.56251588842405-12.0497152105972j</v>
      </c>
      <c r="BA108" s="87">
        <f t="shared" si="37"/>
        <v>23.061832206121707</v>
      </c>
      <c r="BB108" s="87">
        <f t="shared" si="38"/>
        <v>122.1127728551603</v>
      </c>
      <c r="BD108" s="87" t="str">
        <f t="shared" si="39"/>
        <v>2.94063474819523-6.10389295504193j</v>
      </c>
      <c r="BE108" s="87">
        <f t="shared" si="40"/>
        <v>16.618584962584045</v>
      </c>
      <c r="BF108" s="87">
        <f t="shared" si="41"/>
        <v>115.72308443223336</v>
      </c>
      <c r="BH108" s="87">
        <f t="shared" si="49"/>
        <v>-15.618584962584045</v>
      </c>
      <c r="BI108" s="107">
        <f t="shared" si="50"/>
        <v>-115.72308443223336</v>
      </c>
      <c r="BJ108" s="91"/>
      <c r="BK108" s="91"/>
      <c r="BL108" s="91"/>
      <c r="BM108" s="91"/>
      <c r="BN108" s="42"/>
      <c r="BO108" s="42"/>
      <c r="BP108" s="42"/>
    </row>
    <row r="109" spans="1:68" s="87" customFormat="1">
      <c r="A109" s="87">
        <v>45</v>
      </c>
      <c r="B109" s="87">
        <f t="shared" si="42"/>
        <v>794.32823472428174</v>
      </c>
      <c r="C109" s="87" t="str">
        <f t="shared" si="0"/>
        <v>4990.91149349751j</v>
      </c>
      <c r="D109" s="87">
        <f t="shared" si="1"/>
        <v>0.99998753664504736</v>
      </c>
      <c r="E109" s="87" t="str">
        <f t="shared" si="2"/>
        <v>-0.00554545721499723j</v>
      </c>
      <c r="F109" s="87" t="str">
        <f t="shared" si="3"/>
        <v>0.999987536645047-0.00554545721499723j</v>
      </c>
      <c r="G109" s="87">
        <f t="shared" si="4"/>
        <v>2.5299930073340029E-5</v>
      </c>
      <c r="H109" s="87">
        <f t="shared" si="5"/>
        <v>-0.31773199690755871</v>
      </c>
      <c r="J109" s="87">
        <f t="shared" si="6"/>
        <v>14.187192118226601</v>
      </c>
      <c r="K109" s="87" t="str">
        <f t="shared" si="7"/>
        <v>1+0.249919893036888j</v>
      </c>
      <c r="L109" s="87">
        <f t="shared" si="8"/>
        <v>0.99653451709571983</v>
      </c>
      <c r="M109" s="87" t="str">
        <f t="shared" si="9"/>
        <v>0.0179340905858707j</v>
      </c>
      <c r="N109" s="87" t="str">
        <f t="shared" si="10"/>
        <v>0.99653451709572+0.0179340905858707j</v>
      </c>
      <c r="O109" s="87" t="str">
        <f t="shared" si="11"/>
        <v>1.00766449287595+0.232654607305705j</v>
      </c>
      <c r="P109" s="87" t="str">
        <f t="shared" si="12"/>
        <v>14.2959297511465+3.3007156110366j</v>
      </c>
      <c r="R109" s="87">
        <f t="shared" si="13"/>
        <v>23.645320197044338</v>
      </c>
      <c r="S109" s="87" t="str">
        <f t="shared" si="14"/>
        <v>1+0.000374318362012313j</v>
      </c>
      <c r="T109" s="87" t="str">
        <f t="shared" si="15"/>
        <v>0.99653451709572+0.0179340905858707j</v>
      </c>
      <c r="U109" s="87" t="str">
        <f t="shared" si="16"/>
        <v>1.00315939836343-0.0176776949098021j</v>
      </c>
      <c r="V109" s="87" t="str">
        <f t="shared" si="17"/>
        <v>23.7200251829777-0.417994756487931j</v>
      </c>
      <c r="X109" s="87" t="str">
        <f t="shared" si="18"/>
        <v>1.08753291738303+0.244750711723436j</v>
      </c>
      <c r="Y109" s="87">
        <f t="shared" si="19"/>
        <v>0.94342098956802567</v>
      </c>
      <c r="Z109" s="87">
        <f t="shared" si="20"/>
        <v>-167.31681815026843</v>
      </c>
      <c r="AB109" s="87" t="str">
        <f t="shared" si="21"/>
        <v>9.01083137897175-0.158789050136003j</v>
      </c>
      <c r="AC109" s="87">
        <f t="shared" si="22"/>
        <v>19.09664568452915</v>
      </c>
      <c r="AD109" s="87">
        <f t="shared" si="23"/>
        <v>178.99043712466067</v>
      </c>
      <c r="AF109" s="87" t="str">
        <f t="shared" si="24"/>
        <v>4.24916989938855-0.574255091866029j</v>
      </c>
      <c r="AG109" s="87">
        <f t="shared" si="25"/>
        <v>12.644686832924787</v>
      </c>
      <c r="AH109" s="87">
        <f t="shared" si="26"/>
        <v>172.30337961619963</v>
      </c>
      <c r="AJ109" s="87" t="str">
        <f t="shared" si="27"/>
        <v>157499.999026802-12.3805797470572j</v>
      </c>
      <c r="AK109" s="87" t="str">
        <f t="shared" si="28"/>
        <v>30000-4.49182034414775E-06j</v>
      </c>
      <c r="AL109" s="87" t="str">
        <f t="shared" si="43"/>
        <v>10000-4452537.82824536j</v>
      </c>
      <c r="AM109" s="87" t="str">
        <f t="shared" si="44"/>
        <v>963.136809431429-1381823.57643391j</v>
      </c>
      <c r="AN109" s="87" t="str">
        <f t="shared" si="45"/>
        <v>10963.1368094314-1381823.57643391j</v>
      </c>
      <c r="AO109" s="87" t="str">
        <f t="shared" si="46"/>
        <v>29980.7092532067-650.741391331977j</v>
      </c>
      <c r="AP109" s="87" t="str">
        <f t="shared" si="47"/>
        <v>0.160000000132875+0.0000105647413244091j</v>
      </c>
      <c r="AQ109" s="87" t="str">
        <f t="shared" si="29"/>
        <v>1+0.682756692310459j</v>
      </c>
      <c r="AR109" s="87">
        <f t="shared" si="51"/>
        <v>9.9659242177708528E-8</v>
      </c>
      <c r="AS109" s="87" t="str">
        <f t="shared" si="31"/>
        <v>0.0000379997021109615j</v>
      </c>
      <c r="AT109" s="87" t="str">
        <f t="shared" si="32"/>
        <v>9.96592421777085E-08+0.0000379997021109615j</v>
      </c>
      <c r="AU109" s="87" t="str">
        <f t="shared" si="33"/>
        <v>5.41089460407834-7.88060794449942j</v>
      </c>
      <c r="AW109" s="87" t="str">
        <f t="shared" si="48"/>
        <v>0.861441475297805-1.26382979858574j</v>
      </c>
      <c r="AX109" s="87">
        <f t="shared" si="34"/>
        <v>3.6909467887031875</v>
      </c>
      <c r="AY109" s="87">
        <f t="shared" si="35"/>
        <v>124.27880928320329</v>
      </c>
      <c r="AZ109" s="87" t="str">
        <f t="shared" si="36"/>
        <v>7.56162154351018-11.5249446803862j</v>
      </c>
      <c r="BA109" s="87">
        <f t="shared" si="37"/>
        <v>22.78759247323233</v>
      </c>
      <c r="BB109" s="87">
        <f t="shared" si="38"/>
        <v>123.26924640786405</v>
      </c>
      <c r="BD109" s="87" t="str">
        <f t="shared" si="39"/>
        <v>2.93465048983042-5.86491469163515j</v>
      </c>
      <c r="BE109" s="87">
        <f t="shared" si="40"/>
        <v>16.335633621627956</v>
      </c>
      <c r="BF109" s="87">
        <f t="shared" si="41"/>
        <v>116.58218889940301</v>
      </c>
      <c r="BH109" s="87">
        <f t="shared" si="49"/>
        <v>-15.335633621627956</v>
      </c>
      <c r="BI109" s="107">
        <f t="shared" si="50"/>
        <v>-116.58218889940301</v>
      </c>
      <c r="BJ109" s="91"/>
      <c r="BK109" s="91"/>
      <c r="BL109" s="91"/>
      <c r="BM109" s="91"/>
      <c r="BN109" s="42"/>
      <c r="BO109" s="42"/>
      <c r="BP109" s="42"/>
    </row>
    <row r="110" spans="1:68" s="87" customFormat="1">
      <c r="A110" s="87">
        <v>46</v>
      </c>
      <c r="B110" s="87">
        <f t="shared" si="42"/>
        <v>831.76377110267106</v>
      </c>
      <c r="C110" s="87" t="str">
        <f t="shared" si="0"/>
        <v>5226.12590563659j</v>
      </c>
      <c r="D110" s="87">
        <f t="shared" si="1"/>
        <v>0.99998633420304361</v>
      </c>
      <c r="E110" s="87" t="str">
        <f t="shared" si="2"/>
        <v>-0.00580680656181843j</v>
      </c>
      <c r="F110" s="87" t="str">
        <f t="shared" si="3"/>
        <v>0.999986334203044-0.00580680656181843j</v>
      </c>
      <c r="G110" s="87">
        <f t="shared" si="4"/>
        <v>2.7740885264656223E-5</v>
      </c>
      <c r="H110" s="87">
        <f t="shared" si="5"/>
        <v>-0.33270631561218822</v>
      </c>
      <c r="J110" s="87">
        <f t="shared" si="6"/>
        <v>14.187192118226601</v>
      </c>
      <c r="K110" s="87" t="str">
        <f t="shared" si="7"/>
        <v>1+0.261698254724752j</v>
      </c>
      <c r="L110" s="87">
        <f t="shared" si="8"/>
        <v>0.99620017355634982</v>
      </c>
      <c r="M110" s="87" t="str">
        <f t="shared" si="9"/>
        <v>0.0187792982357961j</v>
      </c>
      <c r="N110" s="87" t="str">
        <f t="shared" si="10"/>
        <v>0.99620017355635+0.0187792982357961j</v>
      </c>
      <c r="O110" s="87" t="str">
        <f t="shared" si="11"/>
        <v>1.00840804693171+0.243687027679797j</v>
      </c>
      <c r="P110" s="87" t="str">
        <f t="shared" si="12"/>
        <v>14.3064786953858+3.45723467841288j</v>
      </c>
      <c r="R110" s="87">
        <f t="shared" si="13"/>
        <v>23.645320197044338</v>
      </c>
      <c r="S110" s="87" t="str">
        <f t="shared" si="14"/>
        <v>1+0.000391959442922744j</v>
      </c>
      <c r="T110" s="87" t="str">
        <f t="shared" si="15"/>
        <v>0.99620017355635+0.0187792982357961j</v>
      </c>
      <c r="U110" s="87" t="str">
        <f t="shared" si="16"/>
        <v>1.0034651483096-0.0185227952536256j</v>
      </c>
      <c r="V110" s="87" t="str">
        <f t="shared" si="17"/>
        <v>23.7272547383551-0.43797742471627j</v>
      </c>
      <c r="X110" s="87" t="str">
        <f t="shared" si="18"/>
        <v>1.08846766675021+0.256353510251674j</v>
      </c>
      <c r="Y110" s="87">
        <f t="shared" si="19"/>
        <v>0.97076397141684645</v>
      </c>
      <c r="Z110" s="87">
        <f t="shared" si="20"/>
        <v>-166.74733695305142</v>
      </c>
      <c r="AB110" s="87" t="str">
        <f t="shared" si="21"/>
        <v>9.01357776325879-0.166380123607406j</v>
      </c>
      <c r="AC110" s="87">
        <f t="shared" si="22"/>
        <v>19.099423710927283</v>
      </c>
      <c r="AD110" s="87">
        <f t="shared" si="23"/>
        <v>178.94250688889994</v>
      </c>
      <c r="AF110" s="87" t="str">
        <f t="shared" si="24"/>
        <v>4.24218567444192-0.600382439408829j</v>
      </c>
      <c r="AG110" s="87">
        <f t="shared" si="25"/>
        <v>12.637922059494901</v>
      </c>
      <c r="AH110" s="87">
        <f t="shared" si="26"/>
        <v>171.94461702855557</v>
      </c>
      <c r="AJ110" s="87" t="str">
        <f t="shared" si="27"/>
        <v>157499.998932909-12.9640584868359j</v>
      </c>
      <c r="AK110" s="87" t="str">
        <f t="shared" si="28"/>
        <v>30000-4.70351331507294E-06j</v>
      </c>
      <c r="AL110" s="87" t="str">
        <f t="shared" si="43"/>
        <v>10000-4252140.6149543j</v>
      </c>
      <c r="AM110" s="87" t="str">
        <f t="shared" si="44"/>
        <v>963.136586503354-1319631.40813263j</v>
      </c>
      <c r="AN110" s="87" t="str">
        <f t="shared" si="45"/>
        <v>10963.1365865034-1319631.40813263j</v>
      </c>
      <c r="AO110" s="87" t="str">
        <f t="shared" si="46"/>
        <v>29978.8499128708-681.352100862882j</v>
      </c>
      <c r="AP110" s="87" t="str">
        <f t="shared" si="47"/>
        <v>0.160000000145695+0.0000110626422433931j</v>
      </c>
      <c r="AQ110" s="87" t="str">
        <f t="shared" si="29"/>
        <v>1+0.714934023891085j</v>
      </c>
      <c r="AR110" s="87">
        <f t="shared" si="51"/>
        <v>9.9626366477692171E-8</v>
      </c>
      <c r="AS110" s="87" t="str">
        <f t="shared" si="31"/>
        <v>0.0000397905728978178j</v>
      </c>
      <c r="AT110" s="87" t="str">
        <f t="shared" si="32"/>
        <v>9.96263664776922E-08+0.0000397905728978178j</v>
      </c>
      <c r="AU110" s="87" t="str">
        <f t="shared" si="33"/>
        <v>5.40906985430493-7.52593119966903j</v>
      </c>
      <c r="AW110" s="87" t="str">
        <f t="shared" si="48"/>
        <v>0.861148571608016-1.207218681265j</v>
      </c>
      <c r="AX110" s="87">
        <f t="shared" si="34"/>
        <v>3.4221610627200221</v>
      </c>
      <c r="AY110" s="87">
        <f t="shared" si="35"/>
        <v>125.50150531140926</v>
      </c>
      <c r="AZ110" s="87" t="str">
        <f t="shared" si="36"/>
        <v>7.56117242249805-11.0246374666293j</v>
      </c>
      <c r="BA110" s="87">
        <f t="shared" si="37"/>
        <v>22.521584773647309</v>
      </c>
      <c r="BB110" s="87">
        <f t="shared" si="38"/>
        <v>124.44401220030923</v>
      </c>
      <c r="BD110" s="87" t="str">
        <f t="shared" si="39"/>
        <v>2.92835923728386-5.6382642756965j</v>
      </c>
      <c r="BE110" s="87">
        <f t="shared" si="40"/>
        <v>16.060083122214927</v>
      </c>
      <c r="BF110" s="87">
        <f t="shared" si="41"/>
        <v>117.44612233996486</v>
      </c>
      <c r="BH110" s="87">
        <f t="shared" si="49"/>
        <v>-15.060083122214927</v>
      </c>
      <c r="BI110" s="107">
        <f t="shared" si="50"/>
        <v>-117.44612233996486</v>
      </c>
      <c r="BJ110" s="91"/>
      <c r="BK110" s="91"/>
      <c r="BL110" s="91"/>
      <c r="BM110" s="91"/>
      <c r="BN110" s="42"/>
      <c r="BO110" s="42"/>
      <c r="BP110" s="42"/>
    </row>
    <row r="111" spans="1:68" s="87" customFormat="1">
      <c r="A111" s="87">
        <v>47</v>
      </c>
      <c r="B111" s="87">
        <f t="shared" si="42"/>
        <v>870.9635899560808</v>
      </c>
      <c r="C111" s="87" t="str">
        <f t="shared" si="0"/>
        <v>5472.42563150043j</v>
      </c>
      <c r="D111" s="87">
        <f t="shared" si="1"/>
        <v>0.99998501575160437</v>
      </c>
      <c r="E111" s="87" t="str">
        <f t="shared" si="2"/>
        <v>-0.00608047292388937j</v>
      </c>
      <c r="F111" s="87" t="str">
        <f t="shared" si="3"/>
        <v>0.999985015751604-0.00608047292388937j</v>
      </c>
      <c r="G111" s="87">
        <f t="shared" si="4"/>
        <v>3.0417352254055254E-5</v>
      </c>
      <c r="H111" s="87">
        <f t="shared" si="5"/>
        <v>-0.34838636273715784</v>
      </c>
      <c r="J111" s="87">
        <f t="shared" si="6"/>
        <v>14.187192118226601</v>
      </c>
      <c r="K111" s="87" t="str">
        <f t="shared" si="7"/>
        <v>1+0.274031713497384j</v>
      </c>
      <c r="L111" s="87">
        <f t="shared" si="8"/>
        <v>0.99583357315540932</v>
      </c>
      <c r="M111" s="87" t="str">
        <f t="shared" si="9"/>
        <v>0.019664339295064j</v>
      </c>
      <c r="N111" s="87" t="str">
        <f t="shared" si="10"/>
        <v>0.995833573155409+0.019664339295064j</v>
      </c>
      <c r="O111" s="87" t="str">
        <f t="shared" si="11"/>
        <v>1.00922417076592+0.255249465202551j</v>
      </c>
      <c r="P111" s="87" t="str">
        <f t="shared" si="12"/>
        <v>14.318057201014+3.62127320090319j</v>
      </c>
      <c r="R111" s="87">
        <f t="shared" si="13"/>
        <v>23.645320197044338</v>
      </c>
      <c r="S111" s="87" t="str">
        <f t="shared" si="14"/>
        <v>1+0.000410431922362532j</v>
      </c>
      <c r="T111" s="87" t="str">
        <f t="shared" si="15"/>
        <v>0.995833573155409+0.019664339295064j</v>
      </c>
      <c r="U111" s="87" t="str">
        <f t="shared" si="16"/>
        <v>1.00380058648642-0.019409511705501j</v>
      </c>
      <c r="V111" s="87" t="str">
        <f t="shared" si="17"/>
        <v>23.7351862814523-0.458944119144851j</v>
      </c>
      <c r="X111" s="87" t="str">
        <f t="shared" si="18"/>
        <v>1.08949358075162+0.268513249716308j</v>
      </c>
      <c r="Y111" s="87">
        <f t="shared" si="19"/>
        <v>1.0005871583989339</v>
      </c>
      <c r="Z111" s="87">
        <f t="shared" si="20"/>
        <v>-166.15497651846243</v>
      </c>
      <c r="AB111" s="87" t="str">
        <f t="shared" si="21"/>
        <v>9.01659082065956-0.174345011781553j</v>
      </c>
      <c r="AC111" s="87">
        <f t="shared" si="22"/>
        <v>19.102470675133759</v>
      </c>
      <c r="AD111" s="87">
        <f t="shared" si="23"/>
        <v>178.89226550242316</v>
      </c>
      <c r="AF111" s="87" t="str">
        <f t="shared" si="24"/>
        <v>4.23455252789798-0.627605887006423j</v>
      </c>
      <c r="AG111" s="87">
        <f t="shared" si="25"/>
        <v>12.630516680873898</v>
      </c>
      <c r="AH111" s="87">
        <f t="shared" si="26"/>
        <v>171.56952544525558</v>
      </c>
      <c r="AJ111" s="87" t="str">
        <f t="shared" si="27"/>
        <v>157499.998829958-13.575035731294j</v>
      </c>
      <c r="AK111" s="87" t="str">
        <f t="shared" si="28"/>
        <v>30000-4.92518306835039E-06j</v>
      </c>
      <c r="AL111" s="87" t="str">
        <f t="shared" si="43"/>
        <v>10000-4060762.76200201j</v>
      </c>
      <c r="AM111" s="87" t="str">
        <f t="shared" si="44"/>
        <v>963.136342067688-1260238.354974j</v>
      </c>
      <c r="AN111" s="87" t="str">
        <f t="shared" si="45"/>
        <v>10963.1363420677-1260238.354974j</v>
      </c>
      <c r="AO111" s="87" t="str">
        <f t="shared" si="46"/>
        <v>29976.8115496392-713.396899087589j</v>
      </c>
      <c r="AP111" s="87" t="str">
        <f t="shared" si="47"/>
        <v>0.160000000159751+0.0000115840085097369j</v>
      </c>
      <c r="AQ111" s="87" t="str">
        <f t="shared" si="29"/>
        <v>1+0.748627826389259j</v>
      </c>
      <c r="AR111" s="87">
        <f t="shared" si="51"/>
        <v>9.9590318989441297E-8</v>
      </c>
      <c r="AS111" s="87" t="str">
        <f t="shared" si="31"/>
        <v>0.0000416658448246053j</v>
      </c>
      <c r="AT111" s="87" t="str">
        <f t="shared" si="32"/>
        <v>9.95903189894413E-08+0.0000416658448246053j</v>
      </c>
      <c r="AU111" s="87" t="str">
        <f t="shared" si="33"/>
        <v>5.40740566078587-7.1872171560648j</v>
      </c>
      <c r="AW111" s="87" t="str">
        <f t="shared" si="48"/>
        <v>0.860881266354672-1.15316810672849j</v>
      </c>
      <c r="AX111" s="87">
        <f t="shared" si="34"/>
        <v>3.1616190409755345</v>
      </c>
      <c r="AY111" s="87">
        <f t="shared" si="35"/>
        <v>126.74265621210694</v>
      </c>
      <c r="AZ111" s="87" t="str">
        <f t="shared" si="36"/>
        <v>7.56116501673762-10.5477353203306j</v>
      </c>
      <c r="BA111" s="87">
        <f t="shared" si="37"/>
        <v>22.2640897161093</v>
      </c>
      <c r="BB111" s="87">
        <f t="shared" si="38"/>
        <v>125.63492171453004</v>
      </c>
      <c r="BD111" s="87" t="str">
        <f t="shared" si="39"/>
        <v>2.92171185017134-5.4234450722162j</v>
      </c>
      <c r="BE111" s="87">
        <f t="shared" si="40"/>
        <v>15.792135721849442</v>
      </c>
      <c r="BF111" s="87">
        <f t="shared" si="41"/>
        <v>118.31218165736246</v>
      </c>
      <c r="BH111" s="87">
        <f t="shared" si="49"/>
        <v>-14.792135721849442</v>
      </c>
      <c r="BI111" s="107">
        <f t="shared" si="50"/>
        <v>-118.31218165736246</v>
      </c>
      <c r="BJ111" s="91"/>
      <c r="BK111" s="91"/>
      <c r="BL111" s="91"/>
      <c r="BM111" s="91"/>
      <c r="BN111" s="42"/>
      <c r="BO111" s="42"/>
      <c r="BP111" s="42"/>
    </row>
    <row r="112" spans="1:68" s="87" customFormat="1">
      <c r="A112" s="87">
        <v>48</v>
      </c>
      <c r="B112" s="87">
        <f t="shared" si="42"/>
        <v>912.01083935590987</v>
      </c>
      <c r="C112" s="87" t="str">
        <f t="shared" si="0"/>
        <v>5730.33310582957j</v>
      </c>
      <c r="D112" s="87">
        <f t="shared" si="1"/>
        <v>0.9999835700983486</v>
      </c>
      <c r="E112" s="87" t="str">
        <f t="shared" si="2"/>
        <v>-0.00636703678425508j</v>
      </c>
      <c r="F112" s="87" t="str">
        <f t="shared" si="3"/>
        <v>0.999983570098349-0.00636703678425508j</v>
      </c>
      <c r="G112" s="87">
        <f t="shared" si="4"/>
        <v>3.335205542193122E-5</v>
      </c>
      <c r="H112" s="87">
        <f t="shared" si="5"/>
        <v>-0.36480539979699339</v>
      </c>
      <c r="J112" s="87">
        <f t="shared" si="6"/>
        <v>14.187192118226601</v>
      </c>
      <c r="K112" s="87" t="str">
        <f t="shared" si="7"/>
        <v>1+0.286946430274416j</v>
      </c>
      <c r="L112" s="87">
        <f t="shared" si="8"/>
        <v>0.99543160380908069</v>
      </c>
      <c r="M112" s="87" t="str">
        <f t="shared" si="9"/>
        <v>0.0205910910544206j</v>
      </c>
      <c r="N112" s="87" t="str">
        <f t="shared" si="10"/>
        <v>0.995431603809081+0.0205910910544206j</v>
      </c>
      <c r="O112" s="87" t="str">
        <f t="shared" si="11"/>
        <v>1.01012003562206+0.2673684014317j</v>
      </c>
      <c r="P112" s="87" t="str">
        <f t="shared" si="12"/>
        <v>14.3307670078401+3.79320687745466j</v>
      </c>
      <c r="R112" s="87">
        <f t="shared" si="13"/>
        <v>23.645320197044338</v>
      </c>
      <c r="S112" s="87" t="str">
        <f t="shared" si="14"/>
        <v>1+0.000429774982937218j</v>
      </c>
      <c r="T112" s="87" t="str">
        <f t="shared" si="15"/>
        <v>0.995431603809081+0.0205910910544206j</v>
      </c>
      <c r="U112" s="87" t="str">
        <f t="shared" si="16"/>
        <v>1.00416861576486-0.0203400739345541j</v>
      </c>
      <c r="V112" s="87" t="str">
        <f t="shared" si="17"/>
        <v>23.7438884515829-0.480947561014087j</v>
      </c>
      <c r="X112" s="87" t="str">
        <f t="shared" si="18"/>
        <v>1.09061965488195+0.281257686175723j</v>
      </c>
      <c r="Y112" s="87">
        <f t="shared" si="19"/>
        <v>1.0331002640266558</v>
      </c>
      <c r="Z112" s="87">
        <f t="shared" si="20"/>
        <v>-165.53919019180626</v>
      </c>
      <c r="AB112" s="87" t="str">
        <f t="shared" si="21"/>
        <v>9.01989662607389-0.182703742554865j</v>
      </c>
      <c r="AC112" s="87">
        <f t="shared" si="22"/>
        <v>19.105812710234208</v>
      </c>
      <c r="AD112" s="87">
        <f t="shared" si="23"/>
        <v>178.83959623113418</v>
      </c>
      <c r="AF112" s="87" t="str">
        <f t="shared" si="24"/>
        <v>4.22621273722532-0.655957938169612j</v>
      </c>
      <c r="AG112" s="87">
        <f t="shared" si="25"/>
        <v>12.62241128014195</v>
      </c>
      <c r="AH112" s="87">
        <f t="shared" si="26"/>
        <v>171.17741881585113</v>
      </c>
      <c r="AJ112" s="87" t="str">
        <f t="shared" si="27"/>
        <v>157499.998717075-14.2148074448609j</v>
      </c>
      <c r="AK112" s="87" t="str">
        <f t="shared" si="28"/>
        <v>30000-5.15729979524661E-06j</v>
      </c>
      <c r="AL112" s="87" t="str">
        <f t="shared" si="43"/>
        <v>10000-3877998.33130383j</v>
      </c>
      <c r="AM112" s="87" t="str">
        <f t="shared" si="44"/>
        <v>963.136074049468-1203518.43632928j</v>
      </c>
      <c r="AN112" s="87" t="str">
        <f t="shared" si="45"/>
        <v>10963.1360740495-1203518.43632928j</v>
      </c>
      <c r="AO112" s="87" t="str">
        <f t="shared" si="46"/>
        <v>29974.5769649871-746.942108923747j</v>
      </c>
      <c r="AP112" s="87" t="str">
        <f t="shared" si="47"/>
        <v>0.160000000175163+0.0000121299460111874j</v>
      </c>
      <c r="AQ112" s="87" t="str">
        <f t="shared" si="29"/>
        <v>1+0.783909568877485j</v>
      </c>
      <c r="AR112" s="87">
        <f t="shared" si="51"/>
        <v>9.9550793704548472E-8</v>
      </c>
      <c r="AS112" s="87" t="str">
        <f t="shared" si="31"/>
        <v>0.0000436294955945031j</v>
      </c>
      <c r="AT112" s="87" t="str">
        <f t="shared" si="32"/>
        <v>9.95507937045485E-08+0.0000436294955945031j</v>
      </c>
      <c r="AU112" s="87" t="str">
        <f t="shared" si="33"/>
        <v>5.40588789663648-6.86374746003117j</v>
      </c>
      <c r="AW112" s="87" t="str">
        <f t="shared" si="48"/>
        <v>0.860637290456773-1.10156344304618j</v>
      </c>
      <c r="AX112" s="87">
        <f t="shared" si="34"/>
        <v>2.9095535558846612</v>
      </c>
      <c r="AY112" s="87">
        <f t="shared" si="35"/>
        <v>128.00005186170512</v>
      </c>
      <c r="AZ112" s="87" t="str">
        <f t="shared" si="36"/>
        <v>7.56159962875826-10.0932300372873j</v>
      </c>
      <c r="BA112" s="87">
        <f t="shared" si="37"/>
        <v>22.015366266118868</v>
      </c>
      <c r="BB112" s="87">
        <f t="shared" si="38"/>
        <v>126.8396480928393</v>
      </c>
      <c r="BD112" s="87" t="str">
        <f t="shared" si="39"/>
        <v>2.91465699419591-5.21998331642345j</v>
      </c>
      <c r="BE112" s="87">
        <f t="shared" si="40"/>
        <v>15.53196483602661</v>
      </c>
      <c r="BF112" s="87">
        <f t="shared" si="41"/>
        <v>119.17747067755624</v>
      </c>
      <c r="BH112" s="87">
        <f t="shared" si="49"/>
        <v>-14.53196483602661</v>
      </c>
      <c r="BI112" s="107">
        <f t="shared" si="50"/>
        <v>-119.17747067755624</v>
      </c>
      <c r="BJ112" s="91"/>
      <c r="BK112" s="91"/>
      <c r="BL112" s="91"/>
      <c r="BM112" s="91"/>
      <c r="BN112" s="42"/>
      <c r="BO112" s="42"/>
      <c r="BP112" s="42"/>
    </row>
    <row r="113" spans="1:68" s="87" customFormat="1">
      <c r="A113" s="87">
        <v>49</v>
      </c>
      <c r="B113" s="87">
        <f t="shared" si="42"/>
        <v>954.99258602143584</v>
      </c>
      <c r="C113" s="87" t="str">
        <f t="shared" si="0"/>
        <v>6000.39538495532j</v>
      </c>
      <c r="D113" s="87">
        <f t="shared" si="1"/>
        <v>0.99998198497107449</v>
      </c>
      <c r="E113" s="87" t="str">
        <f t="shared" si="2"/>
        <v>-0.00666710598328369j</v>
      </c>
      <c r="F113" s="87" t="str">
        <f t="shared" si="3"/>
        <v>0.999981984971074-0.00666710598328369j</v>
      </c>
      <c r="G113" s="87">
        <f t="shared" si="4"/>
        <v>3.6569912027440483E-5</v>
      </c>
      <c r="H113" s="87">
        <f t="shared" si="5"/>
        <v>-0.38199825610402627</v>
      </c>
      <c r="J113" s="87">
        <f t="shared" si="6"/>
        <v>14.187192118226601</v>
      </c>
      <c r="K113" s="87" t="str">
        <f t="shared" si="7"/>
        <v>1+0.300469798901638j</v>
      </c>
      <c r="L113" s="87">
        <f t="shared" si="8"/>
        <v>0.99499085318531344</v>
      </c>
      <c r="M113" s="87" t="str">
        <f t="shared" si="9"/>
        <v>0.0215615192785993j</v>
      </c>
      <c r="N113" s="87" t="str">
        <f t="shared" si="10"/>
        <v>0.994990853185313+0.0215615192785993j</v>
      </c>
      <c r="O113" s="87" t="str">
        <f t="shared" si="11"/>
        <v>1.01110353939829+0.280071791164839j</v>
      </c>
      <c r="P113" s="87" t="str">
        <f t="shared" si="12"/>
        <v>14.3447201648624+3.97343230815141j</v>
      </c>
      <c r="R113" s="87">
        <f t="shared" si="13"/>
        <v>23.645320197044338</v>
      </c>
      <c r="S113" s="87" t="str">
        <f t="shared" si="14"/>
        <v>1+0.000450029653871649j</v>
      </c>
      <c r="T113" s="87" t="str">
        <f t="shared" si="15"/>
        <v>0.994990853185313+0.0215615192785993j</v>
      </c>
      <c r="U113" s="87" t="str">
        <f t="shared" si="16"/>
        <v>1.00457242694151-0.0213168573645438j</v>
      </c>
      <c r="V113" s="87" t="str">
        <f t="shared" si="17"/>
        <v>23.7534366961539-0.504043917979361j</v>
      </c>
      <c r="X113" s="87" t="str">
        <f t="shared" si="18"/>
        <v>1.09185579346806+0.29461610964135j</v>
      </c>
      <c r="Y113" s="87">
        <f t="shared" si="19"/>
        <v>1.0685279399787921</v>
      </c>
      <c r="Z113" s="87">
        <f t="shared" si="20"/>
        <v>-164.89947140166598</v>
      </c>
      <c r="AB113" s="87" t="str">
        <f t="shared" si="21"/>
        <v>9.02352384067973-0.191477653057792j</v>
      </c>
      <c r="AC113" s="87">
        <f t="shared" si="22"/>
        <v>19.109478508491907</v>
      </c>
      <c r="AD113" s="87">
        <f t="shared" si="23"/>
        <v>178.78437566387524</v>
      </c>
      <c r="AF113" s="87" t="str">
        <f t="shared" si="24"/>
        <v>4.21710395161214-0.685470010749485j</v>
      </c>
      <c r="AG113" s="87">
        <f t="shared" si="25"/>
        <v>12.61354117549034</v>
      </c>
      <c r="AH113" s="87">
        <f t="shared" si="26"/>
        <v>170.76759055884085</v>
      </c>
      <c r="AJ113" s="87" t="str">
        <f t="shared" si="27"/>
        <v>157499.9985933-14.8847306688629j</v>
      </c>
      <c r="AK113" s="87" t="str">
        <f t="shared" si="28"/>
        <v>30000-0.0000054003558464598j</v>
      </c>
      <c r="AL113" s="87" t="str">
        <f t="shared" si="43"/>
        <v>10000-3703459.65499867j</v>
      </c>
      <c r="AM113" s="87" t="str">
        <f t="shared" si="44"/>
        <v>963.135780173489-1149351.34164646j</v>
      </c>
      <c r="AN113" s="87" t="str">
        <f t="shared" si="45"/>
        <v>10963.1357801735-1149351.34164646j</v>
      </c>
      <c r="AO113" s="87" t="str">
        <f t="shared" si="46"/>
        <v>29972.1273158899-782.056992573999j</v>
      </c>
      <c r="AP113" s="87" t="str">
        <f t="shared" si="47"/>
        <v>0.160000000192063+0.000012701612754375j</v>
      </c>
      <c r="AQ113" s="87" t="str">
        <f t="shared" si="29"/>
        <v>1+0.820854088661888j</v>
      </c>
      <c r="AR113" s="87">
        <f t="shared" si="51"/>
        <v>9.9507455091467146E-8</v>
      </c>
      <c r="AS113" s="87" t="str">
        <f t="shared" si="31"/>
        <v>0.0000456856903740651j</v>
      </c>
      <c r="AT113" s="87" t="str">
        <f t="shared" si="32"/>
        <v>9.95074550914671E-08+0.0000456856903740651j</v>
      </c>
      <c r="AU113" s="87" t="str">
        <f t="shared" si="33"/>
        <v>5.40450367792998-6.55483607976681j</v>
      </c>
      <c r="AW113" s="87" t="str">
        <f t="shared" si="48"/>
        <v>0.860414572863386-1.05229524422679j</v>
      </c>
      <c r="AX113" s="87">
        <f t="shared" si="34"/>
        <v>2.6661700752296165</v>
      </c>
      <c r="AY113" s="87">
        <f t="shared" si="35"/>
        <v>129.27132482869587</v>
      </c>
      <c r="AZ113" s="87" t="str">
        <f t="shared" si="36"/>
        <v>7.5624803874126-9.66016138678294j</v>
      </c>
      <c r="BA113" s="87">
        <f t="shared" si="37"/>
        <v>21.775648583721523</v>
      </c>
      <c r="BB113" s="87">
        <f t="shared" si="38"/>
        <v>128.05570049257111</v>
      </c>
      <c r="BD113" s="87" t="str">
        <f t="shared" si="39"/>
        <v>2.90714086287508-5.02742681920114j</v>
      </c>
      <c r="BE113" s="87">
        <f t="shared" si="40"/>
        <v>15.279711250719949</v>
      </c>
      <c r="BF113" s="87">
        <f t="shared" si="41"/>
        <v>120.03891538753663</v>
      </c>
      <c r="BH113" s="87">
        <f t="shared" si="49"/>
        <v>-14.279711250719949</v>
      </c>
      <c r="BI113" s="107">
        <f t="shared" si="50"/>
        <v>-120.03891538753663</v>
      </c>
      <c r="BJ113" s="91"/>
      <c r="BK113" s="91"/>
      <c r="BL113" s="91"/>
      <c r="BM113" s="91"/>
      <c r="BN113" s="42"/>
      <c r="BO113" s="42"/>
      <c r="BP113" s="42"/>
    </row>
    <row r="114" spans="1:68" s="87" customFormat="1">
      <c r="A114" s="87">
        <v>50</v>
      </c>
      <c r="B114" s="87">
        <f t="shared" si="42"/>
        <v>1000</v>
      </c>
      <c r="C114" s="87" t="str">
        <f t="shared" si="0"/>
        <v>6283.18530717959j</v>
      </c>
      <c r="D114" s="87">
        <f t="shared" si="1"/>
        <v>0.99998024691358023</v>
      </c>
      <c r="E114" s="87" t="str">
        <f t="shared" si="2"/>
        <v>-0.00698131700797732j</v>
      </c>
      <c r="F114" s="87" t="str">
        <f t="shared" si="3"/>
        <v>0.99998024691358-0.00698131700797732j</v>
      </c>
      <c r="G114" s="87">
        <f t="shared" si="4"/>
        <v>4.0098243989335254E-5</v>
      </c>
      <c r="H114" s="87">
        <f t="shared" si="5"/>
        <v>-0.40000140269062739</v>
      </c>
      <c r="J114" s="87">
        <f t="shared" si="6"/>
        <v>14.187192118226601</v>
      </c>
      <c r="K114" s="87" t="str">
        <f t="shared" si="7"/>
        <v>1+0.314630504257018j</v>
      </c>
      <c r="L114" s="87">
        <f t="shared" si="8"/>
        <v>0.99450757973641601</v>
      </c>
      <c r="M114" s="87" t="str">
        <f t="shared" si="9"/>
        <v>0.0225776823759712j</v>
      </c>
      <c r="N114" s="87" t="str">
        <f t="shared" si="10"/>
        <v>0.994507579736416+0.0225776823759712j</v>
      </c>
      <c r="O114" s="87" t="str">
        <f t="shared" si="11"/>
        <v>1.01218338392878+0.293389165908389j</v>
      </c>
      <c r="P114" s="87" t="str">
        <f t="shared" si="12"/>
        <v>14.3600401266743+4.16236846214857j</v>
      </c>
      <c r="R114" s="87">
        <f t="shared" si="13"/>
        <v>23.645320197044338</v>
      </c>
      <c r="S114" s="87" t="str">
        <f t="shared" si="14"/>
        <v>1+0.000471238898038469j</v>
      </c>
      <c r="T114" s="87" t="str">
        <f t="shared" si="15"/>
        <v>0.994507579736416+0.0225776823759712j</v>
      </c>
      <c r="U114" s="87" t="str">
        <f t="shared" si="16"/>
        <v>1.0050155281245-0.0223423963091006j</v>
      </c>
      <c r="V114" s="87" t="str">
        <f t="shared" si="17"/>
        <v>23.7639139655054-0.528293114697945j</v>
      </c>
      <c r="X114" s="87" t="str">
        <f t="shared" si="18"/>
        <v>1.09321290579443+0.308619450454918j</v>
      </c>
      <c r="Y114" s="87">
        <f t="shared" si="19"/>
        <v>1.1071103408303826</v>
      </c>
      <c r="Z114" s="87">
        <f t="shared" si="20"/>
        <v>-164.23536241806835</v>
      </c>
      <c r="AB114" s="87" t="str">
        <f t="shared" si="21"/>
        <v>9.0275039758908-0.200689507641466j</v>
      </c>
      <c r="AC114" s="87">
        <f t="shared" si="22"/>
        <v>19.113499575981475</v>
      </c>
      <c r="AD114" s="87">
        <f t="shared" si="23"/>
        <v>178.72647321886407</v>
      </c>
      <c r="AF114" s="87" t="str">
        <f t="shared" si="24"/>
        <v>4.20715892129705-0.716172051948877j</v>
      </c>
      <c r="AG114" s="87">
        <f t="shared" si="25"/>
        <v>12.603836002106794</v>
      </c>
      <c r="AH114" s="87">
        <f t="shared" si="26"/>
        <v>170.33931420030558</v>
      </c>
      <c r="AJ114" s="87" t="str">
        <f t="shared" si="27"/>
        <v>157499.998457584-15.5862263999847j</v>
      </c>
      <c r="AK114" s="87" t="str">
        <f t="shared" si="28"/>
        <v>30000-5.65486677646164E-06j</v>
      </c>
      <c r="AL114" s="87" t="str">
        <f t="shared" si="43"/>
        <v>10000-3536776.51315322j</v>
      </c>
      <c r="AM114" s="87" t="str">
        <f t="shared" si="44"/>
        <v>963.135457945106-1097622.17525538j</v>
      </c>
      <c r="AN114" s="87" t="str">
        <f t="shared" si="45"/>
        <v>10963.1354579451-1097622.17525538j</v>
      </c>
      <c r="AO114" s="87" t="str">
        <f t="shared" si="46"/>
        <v>29969.4419591427-818.81386263557j</v>
      </c>
      <c r="AP114" s="87" t="str">
        <f t="shared" si="47"/>
        <v>0.160000000210593+0.0000133002213211002j</v>
      </c>
      <c r="AQ114" s="87" t="str">
        <f t="shared" si="29"/>
        <v>1+0.859539750022168j</v>
      </c>
      <c r="AR114" s="87">
        <f t="shared" si="51"/>
        <v>9.9459935247172388E-8</v>
      </c>
      <c r="AS114" s="87" t="str">
        <f t="shared" si="31"/>
        <v>0.0000478387906280978j</v>
      </c>
      <c r="AT114" s="87" t="str">
        <f t="shared" si="32"/>
        <v>9.94599352471724E-08+0.0000478387906280978j</v>
      </c>
      <c r="AU114" s="87" t="str">
        <f t="shared" si="33"/>
        <v>5.40324125433972-6.25982785189455j</v>
      </c>
      <c r="AW114" s="87" t="str">
        <f t="shared" si="48"/>
        <v>0.860211222974732-1.00525901834383j</v>
      </c>
      <c r="AX114" s="87">
        <f t="shared" si="34"/>
        <v>2.4316435841500517</v>
      </c>
      <c r="AY114" s="87">
        <f t="shared" si="35"/>
        <v>130.5539686482602</v>
      </c>
      <c r="AZ114" s="87" t="str">
        <f t="shared" si="36"/>
        <v>7.56381529806672-9.24761515170547j</v>
      </c>
      <c r="BA114" s="87">
        <f t="shared" si="37"/>
        <v>21.545143160131531</v>
      </c>
      <c r="BB114" s="87">
        <f t="shared" si="38"/>
        <v>129.2804418671243</v>
      </c>
      <c r="BD114" s="87" t="str">
        <f t="shared" si="39"/>
        <v>2.89910690703058-4.84534368390683j</v>
      </c>
      <c r="BE114" s="87">
        <f t="shared" si="40"/>
        <v>15.035479586256857</v>
      </c>
      <c r="BF114" s="87">
        <f t="shared" si="41"/>
        <v>120.89328284856582</v>
      </c>
      <c r="BH114" s="87">
        <f t="shared" si="49"/>
        <v>-14.035479586256857</v>
      </c>
      <c r="BI114" s="107">
        <f t="shared" si="50"/>
        <v>-120.89328284856582</v>
      </c>
      <c r="BJ114" s="91"/>
      <c r="BK114" s="91"/>
      <c r="BL114" s="91"/>
      <c r="BM114" s="91"/>
      <c r="BN114" s="42"/>
      <c r="BO114" s="42"/>
      <c r="BP114" s="42"/>
    </row>
    <row r="115" spans="1:68" s="87" customFormat="1">
      <c r="A115" s="87">
        <v>51</v>
      </c>
      <c r="B115" s="87">
        <f t="shared" si="42"/>
        <v>1047.1285480509</v>
      </c>
      <c r="C115" s="87" t="str">
        <f t="shared" si="0"/>
        <v>6579.30270784171j</v>
      </c>
      <c r="D115" s="87">
        <f t="shared" si="1"/>
        <v>0.99997834117143425</v>
      </c>
      <c r="E115" s="87" t="str">
        <f t="shared" si="2"/>
        <v>-0.00731033634204634j</v>
      </c>
      <c r="F115" s="87" t="str">
        <f t="shared" si="3"/>
        <v>0.999978341171434-0.00731033634204634j</v>
      </c>
      <c r="G115" s="87">
        <f t="shared" si="4"/>
        <v>4.3967009915149994E-5</v>
      </c>
      <c r="H115" s="87">
        <f t="shared" si="5"/>
        <v>-0.41885302972036492</v>
      </c>
      <c r="J115" s="87">
        <f t="shared" si="6"/>
        <v>14.187192118226601</v>
      </c>
      <c r="K115" s="87" t="str">
        <f t="shared" si="7"/>
        <v>1+0.329458583095174j</v>
      </c>
      <c r="L115" s="87">
        <f t="shared" si="8"/>
        <v>0.99397768093692518</v>
      </c>
      <c r="M115" s="87" t="str">
        <f t="shared" si="9"/>
        <v>0.0236417357647051j</v>
      </c>
      <c r="N115" s="87" t="str">
        <f t="shared" si="10"/>
        <v>0.993977680936925+0.0236417357647051j</v>
      </c>
      <c r="O115" s="87" t="str">
        <f t="shared" si="11"/>
        <v>1.01336916121736+0.307351747441257j</v>
      </c>
      <c r="P115" s="87" t="str">
        <f t="shared" si="12"/>
        <v>14.3768629768768+4.36045828882177j</v>
      </c>
      <c r="R115" s="87">
        <f t="shared" si="13"/>
        <v>23.645320197044338</v>
      </c>
      <c r="S115" s="87" t="str">
        <f t="shared" si="14"/>
        <v>1+0.000493447703088128j</v>
      </c>
      <c r="T115" s="87" t="str">
        <f t="shared" si="15"/>
        <v>0.993977680936925+0.0236417357647051j</v>
      </c>
      <c r="U115" s="87" t="str">
        <f t="shared" si="16"/>
        <v>1.00550177728505-0.0234193987177701j</v>
      </c>
      <c r="V115" s="87" t="str">
        <f t="shared" si="17"/>
        <v>23.7754114826022-0.553759181503924j</v>
      </c>
      <c r="X115" s="87" t="str">
        <f t="shared" si="18"/>
        <v>1.09470301326135+0.323300395891296j</v>
      </c>
      <c r="Y115" s="87">
        <f t="shared" si="19"/>
        <v>1.1491036183278394</v>
      </c>
      <c r="Z115" s="87">
        <f t="shared" si="20"/>
        <v>-163.54646394515729</v>
      </c>
      <c r="AB115" s="87" t="str">
        <f t="shared" si="21"/>
        <v>9.03187168574933-0.210363630333333j</v>
      </c>
      <c r="AC115" s="87">
        <f t="shared" si="22"/>
        <v>19.117910513371427</v>
      </c>
      <c r="AD115" s="87">
        <f t="shared" si="23"/>
        <v>178.66575059912654</v>
      </c>
      <c r="AF115" s="87" t="str">
        <f t="shared" si="24"/>
        <v>4.19630523203558-0.748092098598437j</v>
      </c>
      <c r="AG115" s="87">
        <f t="shared" si="25"/>
        <v>12.593219270448287</v>
      </c>
      <c r="AH115" s="87">
        <f t="shared" si="26"/>
        <v>169.89184424586099</v>
      </c>
      <c r="AJ115" s="87" t="str">
        <f t="shared" si="27"/>
        <v>157499.998308775-16.3207826043883j</v>
      </c>
      <c r="AK115" s="87" t="str">
        <f t="shared" si="28"/>
        <v>30000-5.92137243705753E-06j</v>
      </c>
      <c r="AL115" s="87" t="str">
        <f t="shared" si="43"/>
        <v>10000-3377595.34847608j</v>
      </c>
      <c r="AM115" s="87" t="str">
        <f t="shared" si="44"/>
        <v>963.135104628944-1048221.21265867j</v>
      </c>
      <c r="AN115" s="87" t="str">
        <f t="shared" si="45"/>
        <v>10963.1351046289-1048221.21265867j</v>
      </c>
      <c r="AO115" s="87" t="str">
        <f t="shared" si="46"/>
        <v>29966.498281259-857.28819443709j</v>
      </c>
      <c r="AP115" s="87" t="str">
        <f t="shared" si="47"/>
        <v>0.16000000023091+0.0000139270414403823j</v>
      </c>
      <c r="AQ115" s="87" t="str">
        <f t="shared" si="29"/>
        <v>1+0.900048610432746j</v>
      </c>
      <c r="AR115" s="87">
        <f t="shared" si="51"/>
        <v>9.9407830774019056E-8</v>
      </c>
      <c r="AS115" s="87" t="str">
        <f t="shared" si="31"/>
        <v>0.0000500933633709111j</v>
      </c>
      <c r="AT115" s="87" t="str">
        <f t="shared" si="32"/>
        <v>9.94078307740191E-08+0.0000500933633709111j</v>
      </c>
      <c r="AU115" s="87" t="str">
        <f t="shared" si="33"/>
        <v>5.40208990940235-5.97809709328395j</v>
      </c>
      <c r="AW115" s="87" t="str">
        <f t="shared" si="48"/>
        <v>0.860025514594803-0.960355006133752j</v>
      </c>
      <c r="AX115" s="87">
        <f t="shared" si="34"/>
        <v>2.2061158382825821</v>
      </c>
      <c r="AY115" s="87">
        <f t="shared" si="35"/>
        <v>131.84535930177393</v>
      </c>
      <c r="AZ115" s="87" t="str">
        <f t="shared" si="36"/>
        <v>7.56561632879171-8.85472127759651j</v>
      </c>
      <c r="BA115" s="87">
        <f t="shared" si="37"/>
        <v>21.324026351654013</v>
      </c>
      <c r="BB115" s="87">
        <f t="shared" si="38"/>
        <v>130.51110990090046</v>
      </c>
      <c r="BD115" s="87" t="str">
        <f t="shared" si="39"/>
        <v>2.89049557464015-4.67332102891205j</v>
      </c>
      <c r="BE115" s="87">
        <f t="shared" si="40"/>
        <v>14.799335108730869</v>
      </c>
      <c r="BF115" s="87">
        <f t="shared" si="41"/>
        <v>121.73720354763492</v>
      </c>
      <c r="BH115" s="87">
        <f t="shared" si="49"/>
        <v>-13.799335108730869</v>
      </c>
      <c r="BI115" s="107">
        <f t="shared" si="50"/>
        <v>-121.73720354763492</v>
      </c>
      <c r="BJ115" s="91"/>
      <c r="BK115" s="91"/>
      <c r="BL115" s="91"/>
      <c r="BM115" s="91"/>
      <c r="BN115" s="42"/>
      <c r="BO115" s="42"/>
      <c r="BP115" s="42"/>
    </row>
    <row r="116" spans="1:68" s="87" customFormat="1">
      <c r="A116" s="87">
        <v>52</v>
      </c>
      <c r="B116" s="87">
        <f t="shared" si="42"/>
        <v>1096.4781961431854</v>
      </c>
      <c r="C116" s="87" t="str">
        <f t="shared" si="0"/>
        <v>6889.37569164964j</v>
      </c>
      <c r="D116" s="87">
        <f t="shared" si="1"/>
        <v>0.99997625156672365</v>
      </c>
      <c r="E116" s="87" t="str">
        <f t="shared" si="2"/>
        <v>-0.00765486187961071j</v>
      </c>
      <c r="F116" s="87" t="str">
        <f t="shared" si="3"/>
        <v>0.999976251566724-0.00765486187961071j</v>
      </c>
      <c r="G116" s="87">
        <f t="shared" si="4"/>
        <v>4.820905969647175E-5</v>
      </c>
      <c r="H116" s="87">
        <f t="shared" si="5"/>
        <v>-0.43859312755325053</v>
      </c>
      <c r="J116" s="87">
        <f t="shared" si="6"/>
        <v>14.187192118226601</v>
      </c>
      <c r="K116" s="87" t="str">
        <f t="shared" si="7"/>
        <v>1+0.344985487759356j</v>
      </c>
      <c r="L116" s="87">
        <f t="shared" si="8"/>
        <v>0.993396658457121</v>
      </c>
      <c r="M116" s="87" t="str">
        <f t="shared" si="9"/>
        <v>0.0247559364446987j</v>
      </c>
      <c r="N116" s="87" t="str">
        <f t="shared" si="10"/>
        <v>0.993396658457121+0.0247559364446987j</v>
      </c>
      <c r="O116" s="87" t="str">
        <f t="shared" si="11"/>
        <v>1.01467144980397+0.321992572768016j</v>
      </c>
      <c r="P116" s="87" t="str">
        <f t="shared" si="12"/>
        <v>14.3953387952484+4.5681704905019j</v>
      </c>
      <c r="R116" s="87">
        <f t="shared" si="13"/>
        <v>23.645320197044338</v>
      </c>
      <c r="S116" s="87" t="str">
        <f t="shared" si="14"/>
        <v>1+0.000516703176873723j</v>
      </c>
      <c r="T116" s="87" t="str">
        <f t="shared" si="15"/>
        <v>0.993396658457121+0.0247559364446987j</v>
      </c>
      <c r="U116" s="87" t="str">
        <f t="shared" si="16"/>
        <v>1.00603541834872-0.0245507627726088j</v>
      </c>
      <c r="V116" s="87" t="str">
        <f t="shared" si="17"/>
        <v>23.7880295964229-0.580510646840011j</v>
      </c>
      <c r="X116" s="87" t="str">
        <f t="shared" si="18"/>
        <v>1.09633936901224+0.338693518283457j</v>
      </c>
      <c r="Y116" s="87">
        <f t="shared" si="19"/>
        <v>1.194780326173136</v>
      </c>
      <c r="Z116" s="87">
        <f t="shared" si="20"/>
        <v>-162.83244554338219</v>
      </c>
      <c r="AB116" s="87" t="str">
        <f t="shared" si="21"/>
        <v>9.03666509111386-0.220526053915281j</v>
      </c>
      <c r="AC116" s="87">
        <f t="shared" si="22"/>
        <v>19.122749325705122</v>
      </c>
      <c r="AD116" s="87">
        <f t="shared" si="23"/>
        <v>178.60206119008291</v>
      </c>
      <c r="AF116" s="87" t="str">
        <f t="shared" si="24"/>
        <v>4.18446505025627-0.781255777633195j</v>
      </c>
      <c r="AG116" s="87">
        <f t="shared" si="25"/>
        <v>12.581607901576126</v>
      </c>
      <c r="AH116" s="87">
        <f t="shared" si="26"/>
        <v>169.42441731878066</v>
      </c>
      <c r="AJ116" s="87" t="str">
        <f t="shared" si="27"/>
        <v>157499.998145609-17.0899573738827j</v>
      </c>
      <c r="AK116" s="87" t="str">
        <f t="shared" si="28"/>
        <v>30000-6.20043812248467E-06j</v>
      </c>
      <c r="AL116" s="87" t="str">
        <f t="shared" si="43"/>
        <v>10000-3225578.51637514j</v>
      </c>
      <c r="AM116" s="87" t="str">
        <f t="shared" si="44"/>
        <v>963.134717225786-1001043.66779133j</v>
      </c>
      <c r="AN116" s="87" t="str">
        <f t="shared" si="45"/>
        <v>10963.1347172258-1001043.66779133j</v>
      </c>
      <c r="AO116" s="87" t="str">
        <f t="shared" si="46"/>
        <v>29963.2715126759-897.558739080322j</v>
      </c>
      <c r="AP116" s="87" t="str">
        <f t="shared" si="47"/>
        <v>0.160000000253188+0.0000145834026817254j</v>
      </c>
      <c r="AQ116" s="87" t="str">
        <f t="shared" si="29"/>
        <v>1+0.942466594617671j</v>
      </c>
      <c r="AR116" s="87">
        <f t="shared" si="51"/>
        <v>9.935069935528492E-8</v>
      </c>
      <c r="AS116" s="87" t="str">
        <f t="shared" si="31"/>
        <v>0.0000524541908535682j</v>
      </c>
      <c r="AT116" s="87" t="str">
        <f t="shared" si="32"/>
        <v>9.93506993552849E-08+0.0000524541908535682j</v>
      </c>
      <c r="AU116" s="87" t="str">
        <f t="shared" si="33"/>
        <v>5.40103986955551-5.70904627520991j</v>
      </c>
      <c r="AW116" s="87" t="str">
        <f t="shared" si="48"/>
        <v>0.859855871279291-0.917487969601097j</v>
      </c>
      <c r="AX116" s="87">
        <f t="shared" si="34"/>
        <v>1.9896930767182139</v>
      </c>
      <c r="AY116" s="87">
        <f t="shared" si="35"/>
        <v>133.14277950249712</v>
      </c>
      <c r="AZ116" s="87" t="str">
        <f t="shared" si="36"/>
        <v>7.56789953392799-8.48065212864028j</v>
      </c>
      <c r="BA116" s="87">
        <f t="shared" si="37"/>
        <v>21.112442402423341</v>
      </c>
      <c r="BB116" s="87">
        <f t="shared" si="38"/>
        <v>131.74484069258</v>
      </c>
      <c r="BD116" s="87" t="str">
        <f t="shared" si="39"/>
        <v>2.88124406446604-4.51096371019515j</v>
      </c>
      <c r="BE116" s="87">
        <f t="shared" si="40"/>
        <v>14.571300978294344</v>
      </c>
      <c r="BF116" s="87">
        <f t="shared" si="41"/>
        <v>122.56719682127775</v>
      </c>
      <c r="BH116" s="87">
        <f t="shared" si="49"/>
        <v>-13.571300978294344</v>
      </c>
      <c r="BI116" s="107">
        <f t="shared" si="50"/>
        <v>-122.56719682127775</v>
      </c>
      <c r="BJ116" s="91"/>
      <c r="BK116" s="91"/>
      <c r="BL116" s="91"/>
      <c r="BM116" s="91"/>
      <c r="BN116" s="42"/>
      <c r="BO116" s="42"/>
      <c r="BP116" s="42"/>
    </row>
    <row r="117" spans="1:68" s="87" customFormat="1">
      <c r="A117" s="87">
        <v>53</v>
      </c>
      <c r="B117" s="87">
        <f t="shared" si="42"/>
        <v>1148.1536214968835</v>
      </c>
      <c r="C117" s="87" t="str">
        <f t="shared" si="0"/>
        <v>7214.06196497425j</v>
      </c>
      <c r="D117" s="87">
        <f t="shared" si="1"/>
        <v>0.99997396036071984</v>
      </c>
      <c r="E117" s="87" t="str">
        <f t="shared" si="2"/>
        <v>-0.00801562440552694j</v>
      </c>
      <c r="F117" s="87" t="str">
        <f t="shared" si="3"/>
        <v>0.99997396036072-0.00801562440552694j</v>
      </c>
      <c r="G117" s="87">
        <f t="shared" si="4"/>
        <v>5.2860413613765178E-5</v>
      </c>
      <c r="H117" s="87">
        <f t="shared" si="5"/>
        <v>-0.45926357163815079</v>
      </c>
      <c r="J117" s="87">
        <f t="shared" si="6"/>
        <v>14.187192118226601</v>
      </c>
      <c r="K117" s="87" t="str">
        <f t="shared" si="7"/>
        <v>1+0.361244152896086j</v>
      </c>
      <c r="L117" s="87">
        <f t="shared" si="8"/>
        <v>0.99275957997654674</v>
      </c>
      <c r="M117" s="87" t="str">
        <f t="shared" si="9"/>
        <v>0.0259226477849777j</v>
      </c>
      <c r="N117" s="87" t="str">
        <f t="shared" si="10"/>
        <v>0.992759579976547+0.0259226477849777j</v>
      </c>
      <c r="O117" s="87" t="str">
        <f t="shared" si="11"/>
        <v>1.01610192262798+0.337346631950985j</v>
      </c>
      <c r="P117" s="87" t="str">
        <f t="shared" si="12"/>
        <v>14.4156331880226+4.78600147792531j</v>
      </c>
      <c r="R117" s="87">
        <f t="shared" si="13"/>
        <v>23.645320197044338</v>
      </c>
      <c r="S117" s="87" t="str">
        <f t="shared" si="14"/>
        <v>1+0.000541054647373069j</v>
      </c>
      <c r="T117" s="87" t="str">
        <f t="shared" si="15"/>
        <v>0.992759579976547+0.0259226477849777j</v>
      </c>
      <c r="U117" s="87" t="str">
        <f t="shared" si="16"/>
        <v>1.00662112125108-0.025739595615226j</v>
      </c>
      <c r="V117" s="87" t="str">
        <f t="shared" si="17"/>
        <v>23.8018787290896-0.608620980064457j</v>
      </c>
      <c r="X117" s="87" t="str">
        <f t="shared" si="18"/>
        <v>1.09813659168602+0.354835416159066j</v>
      </c>
      <c r="Y117" s="87">
        <f t="shared" si="19"/>
        <v>1.2444297148171897</v>
      </c>
      <c r="Z117" s="87">
        <f t="shared" si="20"/>
        <v>-162.09305685550109</v>
      </c>
      <c r="AB117" s="87" t="str">
        <f t="shared" si="21"/>
        <v>9.0419261394577-0.2312046881384j</v>
      </c>
      <c r="AC117" s="87">
        <f t="shared" si="22"/>
        <v>19.128057764374134</v>
      </c>
      <c r="AD117" s="87">
        <f t="shared" si="23"/>
        <v>178.53524939137679</v>
      </c>
      <c r="AF117" s="87" t="str">
        <f t="shared" si="24"/>
        <v>4.17155488566425-0.815685741721991j</v>
      </c>
      <c r="AG117" s="87">
        <f t="shared" si="25"/>
        <v>12.568911740766112</v>
      </c>
      <c r="AH117" s="87">
        <f t="shared" si="26"/>
        <v>168.93625360006064</v>
      </c>
      <c r="AJ117" s="87" t="str">
        <f t="shared" si="27"/>
        <v>157499.9979667-17.8953822308377j</v>
      </c>
      <c r="AK117" s="87" t="str">
        <f t="shared" si="28"/>
        <v>30000-6.49265576847684E-06j</v>
      </c>
      <c r="AL117" s="87" t="str">
        <f t="shared" si="43"/>
        <v>10000-3080403.56876829j</v>
      </c>
      <c r="AM117" s="87" t="str">
        <f t="shared" si="44"/>
        <v>963.134292447021-955989.470755474j</v>
      </c>
      <c r="AN117" s="87" t="str">
        <f t="shared" si="45"/>
        <v>10963.134292447-955989.470755474j</v>
      </c>
      <c r="AO117" s="87" t="str">
        <f t="shared" si="46"/>
        <v>29959.7345248951-939.707636556722j</v>
      </c>
      <c r="AP117" s="87" t="str">
        <f t="shared" si="47"/>
        <v>0.160000000277616+0.0000152706972753127j</v>
      </c>
      <c r="AQ117" s="87" t="str">
        <f t="shared" si="29"/>
        <v>1+0.986883676808477j</v>
      </c>
      <c r="AR117" s="87">
        <f t="shared" si="51"/>
        <v>9.9288056000328199E-8</v>
      </c>
      <c r="AS117" s="87" t="str">
        <f t="shared" si="31"/>
        <v>0.0000549262807076816j</v>
      </c>
      <c r="AT117" s="87" t="str">
        <f t="shared" si="32"/>
        <v>9.92880560003282E-08+0.0000549262807076816j</v>
      </c>
      <c r="AU117" s="87" t="str">
        <f t="shared" si="33"/>
        <v>5.40008222117796-5.45210475706098j</v>
      </c>
      <c r="AW117" s="87" t="str">
        <f t="shared" si="48"/>
        <v>0.859700852954435-0.876566990186304j</v>
      </c>
      <c r="AX117" s="87">
        <f t="shared" si="34"/>
        <v>1.782444271464497</v>
      </c>
      <c r="AY117" s="87">
        <f t="shared" si="35"/>
        <v>134.44344526696972</v>
      </c>
      <c r="AZ117" s="87" t="str">
        <f t="shared" si="36"/>
        <v>7.57068521684434-8.12462084915095j</v>
      </c>
      <c r="BA117" s="87">
        <f t="shared" si="37"/>
        <v>20.910502035838626</v>
      </c>
      <c r="BB117" s="87">
        <f t="shared" si="38"/>
        <v>132.97869465834648</v>
      </c>
      <c r="BD117" s="87" t="str">
        <f t="shared" si="39"/>
        <v>2.87128609779267-4.35789303842485j</v>
      </c>
      <c r="BE117" s="87">
        <f t="shared" si="40"/>
        <v>14.351356012230612</v>
      </c>
      <c r="BF117" s="87">
        <f t="shared" si="41"/>
        <v>123.37969886703036</v>
      </c>
      <c r="BH117" s="87">
        <f t="shared" si="49"/>
        <v>-13.351356012230612</v>
      </c>
      <c r="BI117" s="107">
        <f t="shared" si="50"/>
        <v>-123.37969886703036</v>
      </c>
      <c r="BJ117" s="91"/>
      <c r="BK117" s="91"/>
      <c r="BL117" s="91"/>
      <c r="BM117" s="91"/>
      <c r="BN117" s="42"/>
      <c r="BO117" s="42"/>
      <c r="BP117" s="42"/>
    </row>
    <row r="118" spans="1:68" s="87" customFormat="1">
      <c r="A118" s="87">
        <v>54</v>
      </c>
      <c r="B118" s="87">
        <f t="shared" si="42"/>
        <v>1202.2644346174134</v>
      </c>
      <c r="C118" s="87" t="str">
        <f t="shared" si="0"/>
        <v>7554.0502309327j</v>
      </c>
      <c r="D118" s="87">
        <f t="shared" si="1"/>
        <v>0.99997144810329386</v>
      </c>
      <c r="E118" s="87" t="str">
        <f t="shared" si="2"/>
        <v>-0.00839338914548078j</v>
      </c>
      <c r="F118" s="87" t="str">
        <f t="shared" si="3"/>
        <v>0.999971448103294-0.00839338914548078j</v>
      </c>
      <c r="G118" s="87">
        <f t="shared" si="4"/>
        <v>5.7960568447621122E-5</v>
      </c>
      <c r="H118" s="87">
        <f t="shared" si="5"/>
        <v>-0.48090821141372175</v>
      </c>
      <c r="J118" s="87">
        <f t="shared" si="6"/>
        <v>14.187192118226601</v>
      </c>
      <c r="K118" s="87" t="str">
        <f t="shared" si="7"/>
        <v>1+0.378269065313955j</v>
      </c>
      <c r="L118" s="87">
        <f t="shared" si="8"/>
        <v>0.99206103731336492</v>
      </c>
      <c r="M118" s="87" t="str">
        <f t="shared" si="9"/>
        <v>0.0271443445367185j</v>
      </c>
      <c r="N118" s="87" t="str">
        <f t="shared" si="10"/>
        <v>0.992061037313365+0.0271443445367185j</v>
      </c>
      <c r="O118" s="87" t="str">
        <f t="shared" si="11"/>
        <v>1.01767346796769+0.35345102053716j</v>
      </c>
      <c r="P118" s="87" t="str">
        <f t="shared" si="12"/>
        <v>14.4379290036795+5.01447753274394j</v>
      </c>
      <c r="R118" s="87">
        <f t="shared" si="13"/>
        <v>23.645320197044338</v>
      </c>
      <c r="S118" s="87" t="str">
        <f t="shared" si="14"/>
        <v>1+0.000566553767319952j</v>
      </c>
      <c r="T118" s="87" t="str">
        <f t="shared" si="15"/>
        <v>0.992061037313365+0.0271443445367185j</v>
      </c>
      <c r="U118" s="87" t="str">
        <f t="shared" si="16"/>
        <v>1.00726402644059-0.0269892345317139j</v>
      </c>
      <c r="V118" s="87" t="str">
        <f t="shared" si="17"/>
        <v>23.8170804281519-0.638169092375501j</v>
      </c>
      <c r="X118" s="87" t="str">
        <f t="shared" si="18"/>
        <v>1.10011081520883+0.37176487010259j</v>
      </c>
      <c r="Y118" s="87">
        <f t="shared" si="19"/>
        <v>1.2983578947035683</v>
      </c>
      <c r="Z118" s="87">
        <f t="shared" si="20"/>
        <v>-161.3281395858738</v>
      </c>
      <c r="AB118" s="87" t="str">
        <f t="shared" si="21"/>
        <v>9.04770100461351-0.242429510015605j</v>
      </c>
      <c r="AC118" s="87">
        <f t="shared" si="22"/>
        <v>19.133881704863136</v>
      </c>
      <c r="AD118" s="87">
        <f t="shared" si="23"/>
        <v>178.46514987378333</v>
      </c>
      <c r="AF118" s="87" t="str">
        <f t="shared" si="24"/>
        <v>4.15748537940812-0.851401035171987j</v>
      </c>
      <c r="AG118" s="87">
        <f t="shared" si="25"/>
        <v>12.555033051249954</v>
      </c>
      <c r="AH118" s="87">
        <f t="shared" si="26"/>
        <v>168.42655860905955</v>
      </c>
      <c r="AJ118" s="87" t="str">
        <f t="shared" si="27"/>
        <v>157499.997770531-18.7387655888535j</v>
      </c>
      <c r="AK118" s="87" t="str">
        <f t="shared" si="28"/>
        <v>30000-6.79864520783943E-06j</v>
      </c>
      <c r="AL118" s="87" t="str">
        <f t="shared" si="43"/>
        <v>10000-2941762.57012768j</v>
      </c>
      <c r="AM118" s="87" t="str">
        <f t="shared" si="44"/>
        <v>963.133826686805-912963.055558651j</v>
      </c>
      <c r="AN118" s="87" t="str">
        <f t="shared" si="45"/>
        <v>10963.1338266868-912963.055558651j</v>
      </c>
      <c r="AO118" s="87" t="str">
        <f t="shared" si="46"/>
        <v>29955.8576090881-983.820528185837j</v>
      </c>
      <c r="AP118" s="87" t="str">
        <f t="shared" si="47"/>
        <v>0.160000000304399+0.0000159903830651132j</v>
      </c>
      <c r="AQ118" s="87" t="str">
        <f t="shared" si="29"/>
        <v>1+1.03339407159159j</v>
      </c>
      <c r="AR118" s="87">
        <f t="shared" si="51"/>
        <v>9.9219368927484899E-8</v>
      </c>
      <c r="AS118" s="87" t="str">
        <f t="shared" si="31"/>
        <v>0.0000575148765672708j</v>
      </c>
      <c r="AT118" s="87" t="str">
        <f t="shared" si="32"/>
        <v>9.92193689274849E-08+0.0000575148765672708j</v>
      </c>
      <c r="AU118" s="87" t="str">
        <f t="shared" si="33"/>
        <v>5.39920883492862-5.20672757693274j</v>
      </c>
      <c r="AW118" s="87" t="str">
        <f t="shared" si="48"/>
        <v>0.85955914369339-0.837505276071457j</v>
      </c>
      <c r="AX118" s="87">
        <f t="shared" si="34"/>
        <v>1.584399973808285</v>
      </c>
      <c r="AY118" s="87">
        <f t="shared" si="35"/>
        <v>135.74453414858746</v>
      </c>
      <c r="AZ118" s="87" t="str">
        <f t="shared" si="36"/>
        <v>7.57399813420593-7.78587982971586j</v>
      </c>
      <c r="BA118" s="87">
        <f t="shared" si="37"/>
        <v>20.718281678671421</v>
      </c>
      <c r="BB118" s="87">
        <f t="shared" si="38"/>
        <v>134.20968402237077</v>
      </c>
      <c r="BD118" s="87" t="str">
        <f t="shared" si="39"/>
        <v>2.8605517136326-4.21374548517635j</v>
      </c>
      <c r="BE118" s="87">
        <f t="shared" si="40"/>
        <v>14.139433025058255</v>
      </c>
      <c r="BF118" s="87">
        <f t="shared" si="41"/>
        <v>124.17109275764703</v>
      </c>
      <c r="BH118" s="87">
        <f t="shared" si="49"/>
        <v>-13.139433025058255</v>
      </c>
      <c r="BI118" s="107">
        <f t="shared" si="50"/>
        <v>-124.17109275764703</v>
      </c>
      <c r="BJ118" s="91"/>
      <c r="BK118" s="91"/>
      <c r="BL118" s="91"/>
      <c r="BM118" s="91"/>
      <c r="BN118" s="42"/>
      <c r="BO118" s="42"/>
      <c r="BP118" s="42"/>
    </row>
    <row r="119" spans="1:68" s="87" customFormat="1">
      <c r="A119" s="87">
        <v>55</v>
      </c>
      <c r="B119" s="87">
        <f t="shared" si="42"/>
        <v>1258.925411794168</v>
      </c>
      <c r="C119" s="87" t="str">
        <f t="shared" si="0"/>
        <v>7910.06165022013j</v>
      </c>
      <c r="D119" s="87">
        <f t="shared" si="1"/>
        <v>0.99996869346780326</v>
      </c>
      <c r="E119" s="87" t="str">
        <f t="shared" si="2"/>
        <v>-0.00878895738913348j</v>
      </c>
      <c r="F119" s="87" t="str">
        <f t="shared" si="3"/>
        <v>0.999968693467803-0.00878895738913348j</v>
      </c>
      <c r="G119" s="87">
        <f t="shared" si="4"/>
        <v>6.3552833143294457E-5</v>
      </c>
      <c r="H119" s="87">
        <f t="shared" si="5"/>
        <v>-0.50357296340791935</v>
      </c>
      <c r="J119" s="87">
        <f t="shared" si="6"/>
        <v>14.187192118226601</v>
      </c>
      <c r="K119" s="87" t="str">
        <f t="shared" si="7"/>
        <v>1+0.396096337134773j</v>
      </c>
      <c r="L119" s="87">
        <f t="shared" si="8"/>
        <v>0.99129510051411029</v>
      </c>
      <c r="M119" s="87" t="str">
        <f t="shared" si="9"/>
        <v>0.0284236180825275j</v>
      </c>
      <c r="N119" s="87" t="str">
        <f t="shared" si="10"/>
        <v>0.99129510051411+0.0284236180825275j</v>
      </c>
      <c r="O119" s="87" t="str">
        <f t="shared" si="11"/>
        <v>1.01940032529201+0.37034510856058j</v>
      </c>
      <c r="P119" s="87" t="str">
        <f t="shared" si="12"/>
        <v>14.4624282603004+5.25415720519444j</v>
      </c>
      <c r="R119" s="87">
        <f t="shared" si="13"/>
        <v>23.645320197044338</v>
      </c>
      <c r="S119" s="87" t="str">
        <f t="shared" si="14"/>
        <v>1+0.00059325462376651j</v>
      </c>
      <c r="T119" s="87" t="str">
        <f t="shared" si="15"/>
        <v>0.99129510051411+0.0284236180825275j</v>
      </c>
      <c r="U119" s="87" t="str">
        <f t="shared" si="16"/>
        <v>1.00796979438009-0.0283032709794146j</v>
      </c>
      <c r="V119" s="87" t="str">
        <f t="shared" si="17"/>
        <v>23.8337685370662-0.669239904931971j</v>
      </c>
      <c r="X119" s="87" t="str">
        <f t="shared" si="18"/>
        <v>1.10227985684538+0.38952301531853j</v>
      </c>
      <c r="Y119" s="87">
        <f t="shared" si="19"/>
        <v>1.356887845931227</v>
      </c>
      <c r="Z119" s="87">
        <f t="shared" si="20"/>
        <v>-160.53764015356535</v>
      </c>
      <c r="AB119" s="87" t="str">
        <f t="shared" si="21"/>
        <v>9.05404053141843-0.254232779640922j</v>
      </c>
      <c r="AC119" s="87">
        <f t="shared" si="22"/>
        <v>19.140271564299358</v>
      </c>
      <c r="AD119" s="87">
        <f t="shared" si="23"/>
        <v>178.39158675056132</v>
      </c>
      <c r="AF119" s="87" t="str">
        <f t="shared" si="24"/>
        <v>4.14216112744753-0.888416385600585j</v>
      </c>
      <c r="AG119" s="87">
        <f t="shared" si="25"/>
        <v>12.539865990726149</v>
      </c>
      <c r="AH119" s="87">
        <f t="shared" si="26"/>
        <v>167.89452536605887</v>
      </c>
      <c r="AJ119" s="87" t="str">
        <f t="shared" si="27"/>
        <v>157499.997555436-19.621896376525j</v>
      </c>
      <c r="AK119" s="87" t="str">
        <f t="shared" si="28"/>
        <v>30000-7.11905548519812E-06j</v>
      </c>
      <c r="AL119" s="87" t="str">
        <f t="shared" si="43"/>
        <v>10000-2809361.4443073j</v>
      </c>
      <c r="AM119" s="87" t="str">
        <f t="shared" si="44"/>
        <v>963.133315991392-871873.157405548j</v>
      </c>
      <c r="AN119" s="87" t="str">
        <f t="shared" si="45"/>
        <v>10963.1333159914-871873.157405548j</v>
      </c>
      <c r="AO119" s="87" t="str">
        <f t="shared" si="46"/>
        <v>29951.6082345804-1029.98666747988j</v>
      </c>
      <c r="AP119" s="87" t="str">
        <f t="shared" si="47"/>
        <v>0.160000000333767+0.0000167439866011642j</v>
      </c>
      <c r="AQ119" s="87" t="str">
        <f t="shared" si="29"/>
        <v>1+1.08209643375011j</v>
      </c>
      <c r="AR119" s="87">
        <f t="shared" si="51"/>
        <v>9.9144055049755316E-8</v>
      </c>
      <c r="AS119" s="87" t="str">
        <f t="shared" si="31"/>
        <v>0.000060225469191213j</v>
      </c>
      <c r="AT119" s="87" t="str">
        <f t="shared" si="32"/>
        <v>9.91440550497553E-08+0.000060225469191213j</v>
      </c>
      <c r="AU119" s="87" t="str">
        <f t="shared" si="33"/>
        <v>5.39841229674198-4.97239429656054j</v>
      </c>
      <c r="AW119" s="87" t="str">
        <f t="shared" si="48"/>
        <v>0.859429540546271-0.800219978218327j</v>
      </c>
      <c r="AX119" s="87">
        <f t="shared" si="34"/>
        <v>1.3955517981615184</v>
      </c>
      <c r="AY119" s="87">
        <f t="shared" si="35"/>
        <v>137.043214432767</v>
      </c>
      <c r="AZ119" s="87" t="str">
        <f t="shared" si="36"/>
        <v>7.57786774461761-7.4637192778381j</v>
      </c>
      <c r="BA119" s="87">
        <f t="shared" si="37"/>
        <v>20.535823362460867</v>
      </c>
      <c r="BB119" s="87">
        <f t="shared" si="38"/>
        <v>135.43480118332835</v>
      </c>
      <c r="BD119" s="87" t="str">
        <f t="shared" si="39"/>
        <v>2.84896709389675-4.07817137327335j</v>
      </c>
      <c r="BE119" s="87">
        <f t="shared" si="40"/>
        <v>13.935417788887662</v>
      </c>
      <c r="BF119" s="87">
        <f t="shared" si="41"/>
        <v>124.9377397988259</v>
      </c>
      <c r="BH119" s="87">
        <f t="shared" si="49"/>
        <v>-12.935417788887662</v>
      </c>
      <c r="BI119" s="107">
        <f t="shared" si="50"/>
        <v>-124.9377397988259</v>
      </c>
      <c r="BJ119" s="91"/>
      <c r="BK119" s="91"/>
      <c r="BL119" s="91"/>
      <c r="BM119" s="91"/>
      <c r="BN119" s="42"/>
      <c r="BO119" s="42"/>
      <c r="BP119" s="42"/>
    </row>
    <row r="120" spans="1:68" s="87" customFormat="1">
      <c r="A120" s="87">
        <v>56</v>
      </c>
      <c r="B120" s="87">
        <f t="shared" si="42"/>
        <v>1318.2567385564075</v>
      </c>
      <c r="C120" s="87" t="str">
        <f t="shared" si="0"/>
        <v>8282.8513707881j</v>
      </c>
      <c r="D120" s="87">
        <f t="shared" si="1"/>
        <v>0.99996567307004935</v>
      </c>
      <c r="E120" s="87" t="str">
        <f t="shared" si="2"/>
        <v>-0.00920316818976455j</v>
      </c>
      <c r="F120" s="87" t="str">
        <f t="shared" si="3"/>
        <v>0.999965673070049-0.00920316818976455j</v>
      </c>
      <c r="G120" s="87">
        <f t="shared" si="4"/>
        <v>6.9684696930088312E-5</v>
      </c>
      <c r="H120" s="87">
        <f t="shared" si="5"/>
        <v>-0.52730590873525451</v>
      </c>
      <c r="J120" s="87">
        <f t="shared" si="6"/>
        <v>14.187192118226601</v>
      </c>
      <c r="K120" s="87" t="str">
        <f t="shared" si="7"/>
        <v>1+0.414763782392214j</v>
      </c>
      <c r="L120" s="87">
        <f t="shared" si="8"/>
        <v>0.99045526751410395</v>
      </c>
      <c r="M120" s="87" t="str">
        <f t="shared" si="9"/>
        <v>0.0297631819331102j</v>
      </c>
      <c r="N120" s="87" t="str">
        <f t="shared" si="10"/>
        <v>0.990455267514104+0.0297631819331102j</v>
      </c>
      <c r="O120" s="87" t="str">
        <f t="shared" si="11"/>
        <v>1.02129823816418+0.388070728410049j</v>
      </c>
      <c r="P120" s="87" t="str">
        <f t="shared" si="12"/>
        <v>14.4893543148416+5.5056339794135j</v>
      </c>
      <c r="R120" s="87">
        <f t="shared" si="13"/>
        <v>23.645320197044338</v>
      </c>
      <c r="S120" s="87" t="str">
        <f t="shared" si="14"/>
        <v>1+0.000621213852809107j</v>
      </c>
      <c r="T120" s="87" t="str">
        <f t="shared" si="15"/>
        <v>0.990455267514104+0.0297631819331102j</v>
      </c>
      <c r="U120" s="87" t="str">
        <f t="shared" si="16"/>
        <v>1.00874466067671-0.0296855779067746j</v>
      </c>
      <c r="V120" s="87" t="str">
        <f t="shared" si="17"/>
        <v>23.8520904987597-0.701924994839991j</v>
      </c>
      <c r="X120" s="87" t="str">
        <f t="shared" si="18"/>
        <v>1.10466340609268+0.408153533176672j</v>
      </c>
      <c r="Y120" s="87">
        <f t="shared" si="19"/>
        <v>1.4203592526109912</v>
      </c>
      <c r="Z120" s="87">
        <f t="shared" si="20"/>
        <v>-159.7216229069345</v>
      </c>
      <c r="AB120" s="87" t="str">
        <f t="shared" si="21"/>
        <v>9.06100073091562-0.266649285588776j</v>
      </c>
      <c r="AC120" s="87">
        <f t="shared" si="22"/>
        <v>19.147282763340673</v>
      </c>
      <c r="AD120" s="87">
        <f t="shared" si="23"/>
        <v>178.3143726508786</v>
      </c>
      <c r="AF120" s="87" t="str">
        <f t="shared" si="24"/>
        <v>4.12548055042516-0.926741417487523j</v>
      </c>
      <c r="AG120" s="87">
        <f t="shared" si="25"/>
        <v>12.523296074186161</v>
      </c>
      <c r="AH120" s="87">
        <f t="shared" si="26"/>
        <v>167.33933698051442</v>
      </c>
      <c r="AJ120" s="87" t="str">
        <f t="shared" si="27"/>
        <v>157499.997319589-20.5466478319885j</v>
      </c>
      <c r="AK120" s="87" t="str">
        <f t="shared" si="28"/>
        <v>30000-7.45456623370929E-06j</v>
      </c>
      <c r="AL120" s="87" t="str">
        <f t="shared" si="43"/>
        <v>10000-2682919.35076795j</v>
      </c>
      <c r="AM120" s="87" t="str">
        <f t="shared" si="44"/>
        <v>963.132756025631-832632.61911313j</v>
      </c>
      <c r="AN120" s="87" t="str">
        <f t="shared" si="45"/>
        <v>10963.1327560256-832632.61911313j</v>
      </c>
      <c r="AO120" s="87" t="str">
        <f t="shared" si="46"/>
        <v>29946.9507855233-1078.29902837578j</v>
      </c>
      <c r="AP120" s="87" t="str">
        <f t="shared" si="47"/>
        <v>0.160000000365968+0.0000175331063775887j</v>
      </c>
      <c r="AQ120" s="87" t="str">
        <f t="shared" si="29"/>
        <v>1+1.13309406752381j</v>
      </c>
      <c r="AR120" s="87">
        <f t="shared" si="51"/>
        <v>9.9061475024957844E-8</v>
      </c>
      <c r="AS120" s="87" t="str">
        <f t="shared" si="31"/>
        <v>0.000063063808109879j</v>
      </c>
      <c r="AT120" s="87" t="str">
        <f t="shared" si="32"/>
        <v>9.90614750249578E-08+0.000063063808109879j</v>
      </c>
      <c r="AU120" s="87" t="str">
        <f t="shared" si="33"/>
        <v>5.3976858448947-4.74860789815785j</v>
      </c>
      <c r="AW120" s="87" t="str">
        <f t="shared" si="48"/>
        <v>0.859310943329101-0.764632014750926j</v>
      </c>
      <c r="AX120" s="87">
        <f t="shared" si="34"/>
        <v>1.2158525617322082</v>
      </c>
      <c r="AY120" s="87">
        <f t="shared" si="35"/>
        <v>138.33667454773342</v>
      </c>
      <c r="AZ120" s="87" t="str">
        <f t="shared" si="36"/>
        <v>7.58232850511714-7.15746589367695j</v>
      </c>
      <c r="BA120" s="87">
        <f t="shared" si="37"/>
        <v>20.363135325072889</v>
      </c>
      <c r="BB120" s="87">
        <f t="shared" si="38"/>
        <v>136.65104719861205</v>
      </c>
      <c r="BD120" s="87" t="str">
        <f t="shared" si="39"/>
        <v>2.8364544262651-3.95083354677071j</v>
      </c>
      <c r="BE120" s="87">
        <f t="shared" si="40"/>
        <v>13.739148635918392</v>
      </c>
      <c r="BF120" s="87">
        <f t="shared" si="41"/>
        <v>125.6760115282479</v>
      </c>
      <c r="BH120" s="87">
        <f t="shared" si="49"/>
        <v>-12.739148635918392</v>
      </c>
      <c r="BI120" s="107">
        <f t="shared" si="50"/>
        <v>-125.6760115282479</v>
      </c>
      <c r="BJ120" s="91"/>
      <c r="BK120" s="91"/>
      <c r="BL120" s="91"/>
      <c r="BM120" s="91"/>
      <c r="BN120" s="42"/>
      <c r="BO120" s="42"/>
      <c r="BP120" s="42"/>
    </row>
    <row r="121" spans="1:68" s="87" customFormat="1">
      <c r="A121" s="87">
        <v>57</v>
      </c>
      <c r="B121" s="87">
        <f t="shared" si="42"/>
        <v>1380.3842646028857</v>
      </c>
      <c r="C121" s="87" t="str">
        <f t="shared" si="0"/>
        <v>8673.21012961475j</v>
      </c>
      <c r="D121" s="87">
        <f t="shared" si="1"/>
        <v>0.99996236126976867</v>
      </c>
      <c r="E121" s="87" t="str">
        <f t="shared" si="2"/>
        <v>-0.00963690014401639j</v>
      </c>
      <c r="F121" s="87" t="str">
        <f t="shared" si="3"/>
        <v>0.999962361269769-0.00963690014401639j</v>
      </c>
      <c r="G121" s="87">
        <f t="shared" si="4"/>
        <v>7.6408232999435641E-5</v>
      </c>
      <c r="H121" s="87">
        <f t="shared" si="5"/>
        <v>-0.55215739520056606</v>
      </c>
      <c r="J121" s="87">
        <f t="shared" si="6"/>
        <v>14.187192118226601</v>
      </c>
      <c r="K121" s="87" t="str">
        <f t="shared" si="7"/>
        <v>1+0.434310997240459j</v>
      </c>
      <c r="L121" s="87">
        <f t="shared" si="8"/>
        <v>0.98953440894119538</v>
      </c>
      <c r="M121" s="87" t="str">
        <f t="shared" si="9"/>
        <v>0.0311658774829925j</v>
      </c>
      <c r="N121" s="87" t="str">
        <f t="shared" si="10"/>
        <v>0.989534408941195+0.0311658774829925j</v>
      </c>
      <c r="O121" s="87" t="str">
        <f t="shared" si="11"/>
        <v>1.02338462670108+0.406672384214817j</v>
      </c>
      <c r="P121" s="87" t="str">
        <f t="shared" si="12"/>
        <v>14.5189543098478+5.76953924403287j</v>
      </c>
      <c r="R121" s="87">
        <f t="shared" si="13"/>
        <v>23.645320197044338</v>
      </c>
      <c r="S121" s="87" t="str">
        <f t="shared" si="14"/>
        <v>1+0.000650490759721106j</v>
      </c>
      <c r="T121" s="87" t="str">
        <f t="shared" si="15"/>
        <v>0.989534408941195+0.0311658774829925j</v>
      </c>
      <c r="U121" s="87" t="str">
        <f t="shared" si="16"/>
        <v>1.0095954975631-0.0311403408979814j</v>
      </c>
      <c r="V121" s="87" t="str">
        <f t="shared" si="17"/>
        <v>23.8722088093738-0.736323331577885j</v>
      </c>
      <c r="X121" s="87" t="str">
        <f t="shared" si="18"/>
        <v>1.10728323743184+0.42770286437766j</v>
      </c>
      <c r="Y121" s="87">
        <f t="shared" si="19"/>
        <v>1.4891281415081379</v>
      </c>
      <c r="Z121" s="87">
        <f t="shared" si="20"/>
        <v>-158.88028375121124</v>
      </c>
      <c r="AB121" s="87" t="str">
        <f t="shared" si="21"/>
        <v>9.0686433326066-0.279716624669204j</v>
      </c>
      <c r="AC121" s="87">
        <f t="shared" si="22"/>
        <v>19.154976237529617</v>
      </c>
      <c r="AD121" s="87">
        <f t="shared" si="23"/>
        <v>178.23330768089031</v>
      </c>
      <c r="AF121" s="87" t="str">
        <f t="shared" si="24"/>
        <v>4.10733582315306-0.966379784653229j</v>
      </c>
      <c r="AG121" s="87">
        <f t="shared" si="25"/>
        <v>12.505199627672425</v>
      </c>
      <c r="AH121" s="87">
        <f t="shared" si="26"/>
        <v>166.76016971074938</v>
      </c>
      <c r="AJ121" s="87" t="str">
        <f t="shared" si="27"/>
        <v>157499.997060988-21.5149814762975j</v>
      </c>
      <c r="AK121" s="87" t="str">
        <f t="shared" si="28"/>
        <v>30000-7.80588911665329E-06j</v>
      </c>
      <c r="AL121" s="87" t="str">
        <f t="shared" si="43"/>
        <v>10000-2562168.08887683j</v>
      </c>
      <c r="AM121" s="87" t="str">
        <f t="shared" si="44"/>
        <v>963.13214203614-795158.20623857j</v>
      </c>
      <c r="AN121" s="87" t="str">
        <f t="shared" si="45"/>
        <v>10963.1321420361-795158.20623857j</v>
      </c>
      <c r="AO121" s="87" t="str">
        <f t="shared" si="46"/>
        <v>29941.8462739434-1128.85440958876j</v>
      </c>
      <c r="AP121" s="87" t="str">
        <f t="shared" si="47"/>
        <v>0.160000000401276+0.0000183594162232146j</v>
      </c>
      <c r="AQ121" s="87" t="str">
        <f t="shared" si="29"/>
        <v>1+1.1864951457313j</v>
      </c>
      <c r="AR121" s="87">
        <f t="shared" si="51"/>
        <v>9.8970927828330453E-8</v>
      </c>
      <c r="AS121" s="87" t="str">
        <f t="shared" si="31"/>
        <v>0.0000660359138206582j</v>
      </c>
      <c r="AT121" s="87" t="str">
        <f t="shared" si="32"/>
        <v>9.89709278283305E-08+0.0000660359138206582j</v>
      </c>
      <c r="AU121" s="87" t="str">
        <f t="shared" si="33"/>
        <v>5.39702331260904-4.53489373083465j</v>
      </c>
      <c r="AW121" s="87" t="str">
        <f t="shared" si="48"/>
        <v>0.859202345285063-0.730665903312422j</v>
      </c>
      <c r="AX121" s="87">
        <f t="shared" si="34"/>
        <v>1.045217075012614</v>
      </c>
      <c r="AY121" s="87">
        <f t="shared" si="35"/>
        <v>139.62215193463371</v>
      </c>
      <c r="AZ121" s="87" t="str">
        <f t="shared" si="36"/>
        <v>7.58742021969392-6.86648165236818j</v>
      </c>
      <c r="BA121" s="87">
        <f t="shared" si="37"/>
        <v>20.20019331254224</v>
      </c>
      <c r="BB121" s="87">
        <f t="shared" si="38"/>
        <v>137.85545961552401</v>
      </c>
      <c r="BD121" s="87" t="str">
        <f t="shared" si="39"/>
        <v>2.82293181382995-3.83140601684173j</v>
      </c>
      <c r="BE121" s="87">
        <f t="shared" si="40"/>
        <v>13.550416702685041</v>
      </c>
      <c r="BF121" s="87">
        <f t="shared" si="41"/>
        <v>126.3823216453831</v>
      </c>
      <c r="BH121" s="87">
        <f t="shared" si="49"/>
        <v>-12.550416702685041</v>
      </c>
      <c r="BI121" s="107">
        <f t="shared" si="50"/>
        <v>-126.3823216453831</v>
      </c>
      <c r="BJ121" s="91"/>
      <c r="BK121" s="91"/>
      <c r="BL121" s="91"/>
      <c r="BM121" s="91"/>
      <c r="BN121" s="42"/>
      <c r="BO121" s="42"/>
      <c r="BP121" s="42"/>
    </row>
    <row r="122" spans="1:68" s="87" customFormat="1">
      <c r="A122" s="87">
        <v>58</v>
      </c>
      <c r="B122" s="87">
        <f t="shared" si="42"/>
        <v>1445.4397707459275</v>
      </c>
      <c r="C122" s="87" t="str">
        <f t="shared" si="0"/>
        <v>9081.96592996384j</v>
      </c>
      <c r="D122" s="87">
        <f t="shared" si="1"/>
        <v>0.99995872995297075</v>
      </c>
      <c r="E122" s="87" t="str">
        <f t="shared" si="2"/>
        <v>-0.0100910732555154j</v>
      </c>
      <c r="F122" s="87" t="str">
        <f t="shared" si="3"/>
        <v>0.999958729952971-0.0100910732555154j</v>
      </c>
      <c r="G122" s="87">
        <f t="shared" si="4"/>
        <v>8.3780541225212854E-5</v>
      </c>
      <c r="H122" s="87">
        <f t="shared" si="5"/>
        <v>-0.57818014422809827</v>
      </c>
      <c r="J122" s="87">
        <f t="shared" si="6"/>
        <v>14.187192118226601</v>
      </c>
      <c r="K122" s="87" t="str">
        <f t="shared" si="7"/>
        <v>1+0.454779443942939j</v>
      </c>
      <c r="L122" s="87">
        <f t="shared" si="8"/>
        <v>0.98852470759426969</v>
      </c>
      <c r="M122" s="87" t="str">
        <f t="shared" si="9"/>
        <v>0.0326346800374981j</v>
      </c>
      <c r="N122" s="87" t="str">
        <f t="shared" si="10"/>
        <v>0.98852470759427+0.0326346800374981j</v>
      </c>
      <c r="O122" s="87" t="str">
        <f t="shared" si="11"/>
        <v>1.02567878252658+0.426197485826378j</v>
      </c>
      <c r="P122" s="87" t="str">
        <f t="shared" si="12"/>
        <v>14.5515019392934+6.04654561172398j</v>
      </c>
      <c r="R122" s="87">
        <f t="shared" si="13"/>
        <v>23.645320197044338</v>
      </c>
      <c r="S122" s="87" t="str">
        <f t="shared" si="14"/>
        <v>1+0.000681147444747288j</v>
      </c>
      <c r="T122" s="87" t="str">
        <f t="shared" si="15"/>
        <v>0.98852470759427+0.0326346800374981j</v>
      </c>
      <c r="U122" s="87" t="str">
        <f t="shared" si="16"/>
        <v>1.01052988256076-0.0326720937704772j</v>
      </c>
      <c r="V122" s="87" t="str">
        <f t="shared" si="17"/>
        <v>23.8943026418308-0.772542118710791j</v>
      </c>
      <c r="X122" s="87" t="str">
        <f t="shared" si="18"/>
        <v>1.11016345046971+0.448220446795514j</v>
      </c>
      <c r="Y122" s="87">
        <f t="shared" si="19"/>
        <v>1.5635663071009986</v>
      </c>
      <c r="Z122" s="87">
        <f t="shared" si="20"/>
        <v>-158.01396400201102</v>
      </c>
      <c r="AB122" s="87" t="str">
        <f t="shared" si="21"/>
        <v>9.07703640121633-0.293475521680818j</v>
      </c>
      <c r="AC122" s="87">
        <f t="shared" si="22"/>
        <v>19.16341900390897</v>
      </c>
      <c r="AD122" s="87">
        <f t="shared" si="23"/>
        <v>178.14817825562372</v>
      </c>
      <c r="AF122" s="87" t="str">
        <f t="shared" si="24"/>
        <v>4.08761287873184-1.00732822002009j</v>
      </c>
      <c r="AG122" s="87">
        <f t="shared" si="25"/>
        <v>12.485443238811085</v>
      </c>
      <c r="AH122" s="87">
        <f t="shared" si="26"/>
        <v>166.15619654217852</v>
      </c>
      <c r="AJ122" s="87" t="str">
        <f t="shared" si="27"/>
        <v>157499.996777437-22.528951274058j</v>
      </c>
      <c r="AK122" s="87" t="str">
        <f t="shared" si="28"/>
        <v>30000-8.17376933696745E-06j</v>
      </c>
      <c r="AL122" s="87" t="str">
        <f t="shared" si="43"/>
        <v>10000-2446851.52901809j</v>
      </c>
      <c r="AM122" s="87" t="str">
        <f t="shared" si="44"/>
        <v>963.131468810941-759370.430527845j</v>
      </c>
      <c r="AN122" s="87" t="str">
        <f t="shared" si="45"/>
        <v>10963.1314688109-759370.430527845j</v>
      </c>
      <c r="AO122" s="87" t="str">
        <f t="shared" si="46"/>
        <v>29936.2520272443-1181.75353362734j</v>
      </c>
      <c r="AP122" s="87" t="str">
        <f t="shared" si="47"/>
        <v>0.160000000439991+0.0000192246688519908j</v>
      </c>
      <c r="AQ122" s="87" t="str">
        <f t="shared" si="29"/>
        <v>1+1.24241293921905j</v>
      </c>
      <c r="AR122" s="87">
        <f t="shared" si="51"/>
        <v>9.8871644801506626E-8</v>
      </c>
      <c r="AS122" s="87" t="str">
        <f t="shared" si="31"/>
        <v>0.0000691480905582401j</v>
      </c>
      <c r="AT122" s="87" t="str">
        <f t="shared" si="32"/>
        <v>9.88716448015066E-08+0.0000691480905582401j</v>
      </c>
      <c r="AU122" s="87" t="str">
        <f t="shared" si="33"/>
        <v>5.39641907570619-4.33079850437403j</v>
      </c>
      <c r="AW122" s="87" t="str">
        <f t="shared" si="48"/>
        <v>0.859102824538739-0.69824960104267j</v>
      </c>
      <c r="AX122" s="87">
        <f t="shared" si="34"/>
        <v>0.88352355502740498</v>
      </c>
      <c r="AY122" s="87">
        <f t="shared" si="35"/>
        <v>140.89696064621032</v>
      </c>
      <c r="AZ122" s="87" t="str">
        <f t="shared" si="36"/>
        <v>7.59318844479648-6.59016269540807j</v>
      </c>
      <c r="BA122" s="87">
        <f t="shared" si="37"/>
        <v>20.046942558936376</v>
      </c>
      <c r="BB122" s="87">
        <f t="shared" si="38"/>
        <v>139.04513890183404</v>
      </c>
      <c r="BD122" s="87" t="str">
        <f t="shared" si="39"/>
        <v>2.8083132419914-3.71957258084822j</v>
      </c>
      <c r="BE122" s="87">
        <f t="shared" si="40"/>
        <v>13.36896679383848</v>
      </c>
      <c r="BF122" s="87">
        <f t="shared" si="41"/>
        <v>127.05315718838889</v>
      </c>
      <c r="BH122" s="87">
        <f t="shared" si="49"/>
        <v>-12.36896679383848</v>
      </c>
      <c r="BI122" s="107">
        <f t="shared" si="50"/>
        <v>-127.05315718838889</v>
      </c>
      <c r="BJ122" s="91"/>
      <c r="BK122" s="91"/>
      <c r="BL122" s="91"/>
      <c r="BM122" s="91"/>
      <c r="BN122" s="42"/>
      <c r="BO122" s="42"/>
      <c r="BP122" s="42"/>
    </row>
    <row r="123" spans="1:68" s="87" customFormat="1">
      <c r="A123" s="87">
        <v>59</v>
      </c>
      <c r="B123" s="87">
        <f t="shared" si="42"/>
        <v>1513.5612484362086</v>
      </c>
      <c r="C123" s="87" t="str">
        <f t="shared" si="0"/>
        <v>9509.98579769078j</v>
      </c>
      <c r="D123" s="87">
        <f t="shared" si="1"/>
        <v>0.99995474829327868</v>
      </c>
      <c r="E123" s="87" t="str">
        <f t="shared" si="2"/>
        <v>-0.0105666508863231j</v>
      </c>
      <c r="F123" s="87" t="str">
        <f t="shared" si="3"/>
        <v>0.999954748293279-0.0105666508863231j</v>
      </c>
      <c r="G123" s="87">
        <f t="shared" si="4"/>
        <v>9.1864233712307198E-5</v>
      </c>
      <c r="H123" s="87">
        <f t="shared" si="5"/>
        <v>-0.60542936284529214</v>
      </c>
      <c r="J123" s="87">
        <f t="shared" si="6"/>
        <v>14.187192118226601</v>
      </c>
      <c r="K123" s="87" t="str">
        <f t="shared" si="7"/>
        <v>1+0.476212538819366j</v>
      </c>
      <c r="L123" s="87">
        <f t="shared" si="8"/>
        <v>0.98741759208274926</v>
      </c>
      <c r="M123" s="87" t="str">
        <f t="shared" si="9"/>
        <v>0.0341727051237711j</v>
      </c>
      <c r="N123" s="87" t="str">
        <f t="shared" si="10"/>
        <v>0.987417592082749+0.0341727051237711j</v>
      </c>
      <c r="O123" s="87" t="str">
        <f t="shared" si="11"/>
        <v>1.02820208968039+0.446696610975622j</v>
      </c>
      <c r="P123" s="87" t="str">
        <f t="shared" si="12"/>
        <v>14.5873005826578+6.33737063847188j</v>
      </c>
      <c r="R123" s="87">
        <f t="shared" si="13"/>
        <v>23.645320197044338</v>
      </c>
      <c r="S123" s="87" t="str">
        <f t="shared" si="14"/>
        <v>1+0.000713248934826809j</v>
      </c>
      <c r="T123" s="87" t="str">
        <f t="shared" si="15"/>
        <v>0.987417592082749+0.0341727051237711j</v>
      </c>
      <c r="U123" s="87" t="str">
        <f t="shared" si="16"/>
        <v>1.01155617528376-0.0342857593694135j</v>
      </c>
      <c r="V123" s="87" t="str">
        <f t="shared" si="17"/>
        <v>23.918569661882-0.810697758488595j</v>
      </c>
      <c r="X123" s="87" t="str">
        <f t="shared" si="18"/>
        <v>1.11333074162203+0.469758981545417j</v>
      </c>
      <c r="Y123" s="87">
        <f t="shared" si="19"/>
        <v>1.6440605091835769</v>
      </c>
      <c r="Z123" s="87">
        <f t="shared" si="20"/>
        <v>-157.12316423817768</v>
      </c>
      <c r="AB123" s="87" t="str">
        <f t="shared" si="21"/>
        <v>9.08625502657886-0.307970195845047j</v>
      </c>
      <c r="AC123" s="87">
        <f t="shared" si="22"/>
        <v>19.17268478947425</v>
      </c>
      <c r="AD123" s="87">
        <f t="shared" si="23"/>
        <v>178.05875578193957</v>
      </c>
      <c r="AF123" s="87" t="str">
        <f t="shared" si="24"/>
        <v>4.06619150429073-1.0495755027757j</v>
      </c>
      <c r="AG123" s="87">
        <f t="shared" si="25"/>
        <v>12.46388321136248</v>
      </c>
      <c r="AH123" s="87">
        <f t="shared" si="26"/>
        <v>165.52659133159813</v>
      </c>
      <c r="AJ123" s="87" t="str">
        <f t="shared" si="27"/>
        <v>157499.99646653-23.5907079901456j</v>
      </c>
      <c r="AK123" s="87" t="str">
        <f t="shared" si="28"/>
        <v>30000-8.55898721792169E-06j</v>
      </c>
      <c r="AL123" s="87" t="str">
        <f t="shared" si="43"/>
        <v>10000-2336725.06930749j</v>
      </c>
      <c r="AM123" s="87" t="str">
        <f t="shared" si="44"/>
        <v>963.130730635274-725193.381310467j</v>
      </c>
      <c r="AN123" s="87" t="str">
        <f t="shared" si="45"/>
        <v>10963.1307306353-725193.381310467j</v>
      </c>
      <c r="AO123" s="87" t="str">
        <f t="shared" si="46"/>
        <v>29930.1213481223-1237.10113876523j</v>
      </c>
      <c r="AP123" s="87" t="str">
        <f t="shared" si="47"/>
        <v>0.16000000048244+0.0000201306995807273j</v>
      </c>
      <c r="AQ123" s="87" t="str">
        <f t="shared" si="29"/>
        <v>1+1.3009660571241j</v>
      </c>
      <c r="AR123" s="87">
        <f t="shared" si="51"/>
        <v>9.8762783127347198E-8</v>
      </c>
      <c r="AS123" s="87" t="str">
        <f t="shared" si="31"/>
        <v>0.0000724069396667421j</v>
      </c>
      <c r="AT123" s="87" t="str">
        <f t="shared" si="32"/>
        <v>9.87627831273472E-08+0.0000724069396667421j</v>
      </c>
      <c r="AU123" s="87" t="str">
        <f t="shared" si="33"/>
        <v>5.39586800486541-4.13588932824354j</v>
      </c>
      <c r="AW123" s="87" t="str">
        <f t="shared" si="48"/>
        <v>0.859011536270909-0.667314351838617j</v>
      </c>
      <c r="AX123" s="87">
        <f t="shared" si="34"/>
        <v>0.73061561193106483</v>
      </c>
      <c r="AY123" s="87">
        <f t="shared" si="35"/>
        <v>142.15851700271725</v>
      </c>
      <c r="AZ123" s="87" t="str">
        <f t="shared" si="36"/>
        <v>7.59968495770482-6.32793833476035j</v>
      </c>
      <c r="BA123" s="87">
        <f t="shared" si="37"/>
        <v>19.903300401405307</v>
      </c>
      <c r="BB123" s="87">
        <f t="shared" si="38"/>
        <v>140.21727278465681</v>
      </c>
      <c r="BD123" s="87" t="str">
        <f t="shared" si="39"/>
        <v>2.79250861453204-3.61502541320912j</v>
      </c>
      <c r="BE123" s="87">
        <f t="shared" si="40"/>
        <v>13.194498823293534</v>
      </c>
      <c r="BF123" s="87">
        <f t="shared" si="41"/>
        <v>127.68510833431539</v>
      </c>
      <c r="BH123" s="87">
        <f t="shared" si="49"/>
        <v>-12.194498823293534</v>
      </c>
      <c r="BI123" s="107">
        <f t="shared" si="50"/>
        <v>-127.68510833431539</v>
      </c>
      <c r="BJ123" s="91"/>
      <c r="BK123" s="91"/>
      <c r="BL123" s="91"/>
      <c r="BM123" s="91"/>
      <c r="BN123" s="42"/>
      <c r="BO123" s="42"/>
      <c r="BP123" s="42"/>
    </row>
    <row r="124" spans="1:68" s="87" customFormat="1">
      <c r="A124" s="87">
        <v>60</v>
      </c>
      <c r="B124" s="87">
        <f t="shared" si="42"/>
        <v>1584.8931924611136</v>
      </c>
      <c r="C124" s="87" t="str">
        <f t="shared" si="0"/>
        <v>9958.17762032062j</v>
      </c>
      <c r="D124" s="87">
        <f t="shared" si="1"/>
        <v>0.99995038249024182</v>
      </c>
      <c r="E124" s="87" t="str">
        <f t="shared" si="2"/>
        <v>-0.0110646418003562j</v>
      </c>
      <c r="F124" s="87" t="str">
        <f t="shared" si="3"/>
        <v>0.999950382490242-0.0110646418003562j</v>
      </c>
      <c r="G124" s="87">
        <f t="shared" si="4"/>
        <v>1.0072796723681015E-4</v>
      </c>
      <c r="H124" s="87">
        <f t="shared" si="5"/>
        <v>-0.63396286096176135</v>
      </c>
      <c r="J124" s="87">
        <f t="shared" si="6"/>
        <v>14.187192118226601</v>
      </c>
      <c r="K124" s="87" t="str">
        <f t="shared" si="7"/>
        <v>1+0.498655744337555j</v>
      </c>
      <c r="L124" s="87">
        <f t="shared" si="8"/>
        <v>0.98620366406375515</v>
      </c>
      <c r="M124" s="87" t="str">
        <f t="shared" si="9"/>
        <v>0.035783215099226j</v>
      </c>
      <c r="N124" s="87" t="str">
        <f t="shared" si="10"/>
        <v>0.986203664063755+0.035783215099226j</v>
      </c>
      <c r="O124" s="87" t="str">
        <f t="shared" si="11"/>
        <v>1.03097827557473+0.468223799775077j</v>
      </c>
      <c r="P124" s="87" t="str">
        <f t="shared" si="12"/>
        <v>14.6266868652967+6.64278100173508j</v>
      </c>
      <c r="R124" s="87">
        <f t="shared" si="13"/>
        <v>23.645320197044338</v>
      </c>
      <c r="S124" s="87" t="str">
        <f t="shared" si="14"/>
        <v>1+0.000746863321524046j</v>
      </c>
      <c r="T124" s="87" t="str">
        <f t="shared" si="15"/>
        <v>0.986203664063755+0.035783215099226j</v>
      </c>
      <c r="U124" s="87" t="str">
        <f t="shared" si="16"/>
        <v>1.01268360349136-0.0359866964430304j</v>
      </c>
      <c r="V124" s="87" t="str">
        <f t="shared" si="17"/>
        <v>23.9452280628499-0.85091696022929j</v>
      </c>
      <c r="X124" s="87" t="str">
        <f t="shared" si="18"/>
        <v>1.11681471223605+0.492374731402963j</v>
      </c>
      <c r="Y124" s="87">
        <f t="shared" si="19"/>
        <v>1.7310114347911465</v>
      </c>
      <c r="Z124" s="87">
        <f t="shared" si="20"/>
        <v>-156.20855788872333</v>
      </c>
      <c r="AB124" s="87" t="str">
        <f t="shared" si="21"/>
        <v>9.09638209660099-0.323248781861993j</v>
      </c>
      <c r="AC124" s="87">
        <f t="shared" si="22"/>
        <v>19.182854728939795</v>
      </c>
      <c r="AD124" s="87">
        <f t="shared" si="23"/>
        <v>177.96479516940767</v>
      </c>
      <c r="AF124" s="87" t="str">
        <f t="shared" si="24"/>
        <v>4.04294554729857-1.09310134534435j</v>
      </c>
      <c r="AG124" s="87">
        <f t="shared" si="25"/>
        <v>12.440365032604353</v>
      </c>
      <c r="AH124" s="87">
        <f t="shared" si="26"/>
        <v>164.87053356436891</v>
      </c>
      <c r="AJ124" s="87" t="str">
        <f t="shared" si="27"/>
        <v>157499.996125627-24.7025037517462j</v>
      </c>
      <c r="AK124" s="87" t="str">
        <f t="shared" si="28"/>
        <v>30000-8.96235985828857E-06j</v>
      </c>
      <c r="AL124" s="87" t="str">
        <f t="shared" si="43"/>
        <v>10000-2231555.11675908j</v>
      </c>
      <c r="AM124" s="87" t="str">
        <f t="shared" si="44"/>
        <v>963.129921243051-692554.564482799j</v>
      </c>
      <c r="AN124" s="87" t="str">
        <f t="shared" si="45"/>
        <v>10963.1299212431-692554.564482799j</v>
      </c>
      <c r="AO124" s="87" t="str">
        <f t="shared" si="46"/>
        <v>29923.4031447392-1295.00606198659j</v>
      </c>
      <c r="AP124" s="87" t="str">
        <f t="shared" si="47"/>
        <v>0.160000000528986+0.0000210794302220478j</v>
      </c>
      <c r="AQ124" s="87" t="str">
        <f t="shared" si="29"/>
        <v>1+1.36227869845986j</v>
      </c>
      <c r="AR124" s="87">
        <f t="shared" si="51"/>
        <v>9.8643418675235752E-8</v>
      </c>
      <c r="AS124" s="87" t="str">
        <f t="shared" si="31"/>
        <v>0.0000758193736020447j</v>
      </c>
      <c r="AT124" s="87" t="str">
        <f t="shared" si="32"/>
        <v>9.86434186752358E-08+0.0000758193736020447j</v>
      </c>
      <c r="AU124" s="87" t="str">
        <f t="shared" si="33"/>
        <v>5.39536542208296-3.94975279381215j</v>
      </c>
      <c r="AW124" s="87" t="str">
        <f t="shared" si="48"/>
        <v>0.858927705547346-0.637794540574945j</v>
      </c>
      <c r="AX124" s="87">
        <f t="shared" si="34"/>
        <v>0.58630474111329334</v>
      </c>
      <c r="AY124" s="87">
        <f t="shared" si="35"/>
        <v>143.4043627227</v>
      </c>
      <c r="AZ124" s="87" t="str">
        <f t="shared" si="36"/>
        <v>7.60696829469636-6.07927017472148j</v>
      </c>
      <c r="BA124" s="87">
        <f t="shared" si="37"/>
        <v>19.769159470053083</v>
      </c>
      <c r="BB124" s="87">
        <f t="shared" si="38"/>
        <v>141.36915789210764</v>
      </c>
      <c r="BD124" s="87" t="str">
        <f t="shared" si="39"/>
        <v>2.77542387223827-3.51746362839615j</v>
      </c>
      <c r="BE124" s="87">
        <f t="shared" si="40"/>
        <v>13.026669773717652</v>
      </c>
      <c r="BF124" s="87">
        <f t="shared" si="41"/>
        <v>128.27489628706897</v>
      </c>
      <c r="BH124" s="87">
        <f t="shared" si="49"/>
        <v>-12.026669773717652</v>
      </c>
      <c r="BI124" s="107">
        <f t="shared" si="50"/>
        <v>-128.27489628706897</v>
      </c>
      <c r="BJ124" s="91"/>
      <c r="BK124" s="91"/>
      <c r="BL124" s="91"/>
      <c r="BM124" s="91"/>
      <c r="BN124" s="42"/>
      <c r="BO124" s="42"/>
      <c r="BP124" s="42"/>
    </row>
    <row r="125" spans="1:68" s="87" customFormat="1">
      <c r="A125" s="87">
        <v>61</v>
      </c>
      <c r="B125" s="87">
        <f t="shared" si="42"/>
        <v>1659.5869074375614</v>
      </c>
      <c r="C125" s="87" t="str">
        <f t="shared" si="0"/>
        <v>10427.4920727993j</v>
      </c>
      <c r="D125" s="87">
        <f t="shared" si="1"/>
        <v>0.99994559548240325</v>
      </c>
      <c r="E125" s="87" t="str">
        <f t="shared" si="2"/>
        <v>-0.0115861023031103j</v>
      </c>
      <c r="F125" s="87" t="str">
        <f t="shared" si="3"/>
        <v>0.999945595482403-0.0115861023031103j</v>
      </c>
      <c r="G125" s="87">
        <f t="shared" si="4"/>
        <v>1.1044702726949684E-4</v>
      </c>
      <c r="H125" s="87">
        <f t="shared" si="5"/>
        <v>-0.66384117419561917</v>
      </c>
      <c r="J125" s="87">
        <f t="shared" si="6"/>
        <v>14.187192118226601</v>
      </c>
      <c r="K125" s="87" t="str">
        <f t="shared" si="7"/>
        <v>1+0.522156665545425j</v>
      </c>
      <c r="L125" s="87">
        <f t="shared" si="8"/>
        <v>0.9848726184592409</v>
      </c>
      <c r="M125" s="87" t="str">
        <f t="shared" si="9"/>
        <v>0.0374696260714456j</v>
      </c>
      <c r="N125" s="87" t="str">
        <f t="shared" si="10"/>
        <v>0.984872618459241+0.0374696260714456j</v>
      </c>
      <c r="O125" s="87" t="str">
        <f t="shared" si="11"/>
        <v>1.0340336968551+0.490836886434361j</v>
      </c>
      <c r="P125" s="87" t="str">
        <f t="shared" si="12"/>
        <v>14.6700347140034+6.96359720655645j</v>
      </c>
      <c r="R125" s="87">
        <f t="shared" si="13"/>
        <v>23.645320197044338</v>
      </c>
      <c r="S125" s="87" t="str">
        <f t="shared" si="14"/>
        <v>1+0.000782061905459947j</v>
      </c>
      <c r="T125" s="87" t="str">
        <f t="shared" si="15"/>
        <v>0.984872618459241+0.0374696260714456j</v>
      </c>
      <c r="U125" s="87" t="str">
        <f t="shared" si="16"/>
        <v>1.01392235967546-0.0377807536524555j</v>
      </c>
      <c r="V125" s="87" t="str">
        <f t="shared" si="17"/>
        <v>23.974518849469-0.893338017397963j</v>
      </c>
      <c r="X125" s="87" t="str">
        <f t="shared" si="18"/>
        <v>1.12064821895222+0.516127856382891j</v>
      </c>
      <c r="Y125" s="87">
        <f t="shared" si="19"/>
        <v>1.8248324236899913</v>
      </c>
      <c r="Z125" s="87">
        <f t="shared" si="20"/>
        <v>-155.27100425329616</v>
      </c>
      <c r="AB125" s="87" t="str">
        <f t="shared" si="21"/>
        <v>9.10750916485434-0.339363815050868j</v>
      </c>
      <c r="AC125" s="87">
        <f t="shared" si="22"/>
        <v>19.194018140338571</v>
      </c>
      <c r="AD125" s="87">
        <f t="shared" si="23"/>
        <v>177.86603314183179</v>
      </c>
      <c r="AF125" s="87" t="str">
        <f t="shared" si="24"/>
        <v>4.01774325325773-1.1378752054614j</v>
      </c>
      <c r="AG125" s="87">
        <f t="shared" si="25"/>
        <v>12.414722864099891</v>
      </c>
      <c r="AH125" s="87">
        <f t="shared" si="26"/>
        <v>164.18721376910878</v>
      </c>
      <c r="AJ125" s="87" t="str">
        <f t="shared" si="27"/>
        <v>157499.995751835-25.8666968253988j</v>
      </c>
      <c r="AK125" s="87" t="str">
        <f t="shared" si="28"/>
        <v>30000-9.38474286551937E-06j</v>
      </c>
      <c r="AL125" s="87" t="str">
        <f t="shared" si="43"/>
        <v>10000-2131118.59180312j</v>
      </c>
      <c r="AM125" s="87" t="str">
        <f t="shared" si="44"/>
        <v>963.12903376369-661384.748738323j</v>
      </c>
      <c r="AN125" s="87" t="str">
        <f t="shared" si="45"/>
        <v>10963.1290337637-661384.748738323j</v>
      </c>
      <c r="AO125" s="87" t="str">
        <f t="shared" si="46"/>
        <v>29916.0415288894-1355.58131060465j</v>
      </c>
      <c r="AP125" s="87" t="str">
        <f t="shared" si="47"/>
        <v>0.160000000580021+0.0000220728731608119j</v>
      </c>
      <c r="AQ125" s="87" t="str">
        <f t="shared" si="29"/>
        <v>1+1.42648091555894j</v>
      </c>
      <c r="AR125" s="87">
        <f t="shared" si="51"/>
        <v>9.8512538156100967E-8</v>
      </c>
      <c r="AS125" s="87" t="str">
        <f t="shared" si="31"/>
        <v>0.0000793926305940379j</v>
      </c>
      <c r="AT125" s="87" t="str">
        <f t="shared" si="32"/>
        <v>9.8512538156101E-08+0.0000793926305940379j</v>
      </c>
      <c r="AU125" s="87" t="str">
        <f t="shared" si="33"/>
        <v>5.3949070609626-3.77199409783503j</v>
      </c>
      <c r="AW125" s="87" t="str">
        <f t="shared" si="48"/>
        <v>0.858850620740891-0.609627553976932j</v>
      </c>
      <c r="AX125" s="87">
        <f t="shared" si="34"/>
        <v>0.45037323844381105</v>
      </c>
      <c r="AY125" s="87">
        <f t="shared" si="35"/>
        <v>144.6321850582616</v>
      </c>
      <c r="AZ125" s="87" t="str">
        <f t="shared" si="36"/>
        <v>7.61510436716076-5.84365135820608j</v>
      </c>
      <c r="BA125" s="87">
        <f t="shared" si="37"/>
        <v>19.64439137878238</v>
      </c>
      <c r="BB125" s="87">
        <f t="shared" si="38"/>
        <v>142.49821820009336</v>
      </c>
      <c r="BD125" s="87" t="str">
        <f t="shared" si="39"/>
        <v>2.7569612088015-3.42659181852702j</v>
      </c>
      <c r="BE125" s="87">
        <f t="shared" si="40"/>
        <v>12.865096102543705</v>
      </c>
      <c r="BF125" s="87">
        <f t="shared" si="41"/>
        <v>128.81939882737046</v>
      </c>
      <c r="BH125" s="87">
        <f t="shared" si="49"/>
        <v>-11.865096102543705</v>
      </c>
      <c r="BI125" s="107">
        <f t="shared" si="50"/>
        <v>-128.81939882737046</v>
      </c>
      <c r="BJ125" s="91"/>
      <c r="BK125" s="91"/>
      <c r="BL125" s="91"/>
      <c r="BM125" s="91"/>
      <c r="BN125" s="42"/>
      <c r="BO125" s="42"/>
      <c r="BP125" s="42"/>
    </row>
    <row r="126" spans="1:68" s="87" customFormat="1">
      <c r="A126" s="87">
        <v>62</v>
      </c>
      <c r="B126" s="87">
        <f t="shared" si="42"/>
        <v>1737.8008287493756</v>
      </c>
      <c r="C126" s="87" t="str">
        <f t="shared" si="0"/>
        <v>10918.9246340026j</v>
      </c>
      <c r="D126" s="87">
        <f t="shared" si="1"/>
        <v>0.99994034663268339</v>
      </c>
      <c r="E126" s="87" t="str">
        <f t="shared" si="2"/>
        <v>-0.0121321384822251j</v>
      </c>
      <c r="F126" s="87" t="str">
        <f t="shared" si="3"/>
        <v>0.999940346632683-0.0121321384822251j</v>
      </c>
      <c r="G126" s="87">
        <f t="shared" si="4"/>
        <v>1.2110396845114576E-4</v>
      </c>
      <c r="H126" s="87">
        <f t="shared" si="5"/>
        <v>-0.69512769251153028</v>
      </c>
      <c r="J126" s="87">
        <f t="shared" si="6"/>
        <v>14.187192118226601</v>
      </c>
      <c r="K126" s="87" t="str">
        <f t="shared" si="7"/>
        <v>1+0.54676515104768j</v>
      </c>
      <c r="L126" s="87">
        <f t="shared" si="8"/>
        <v>0.98341315597581869</v>
      </c>
      <c r="M126" s="87" t="str">
        <f t="shared" si="9"/>
        <v>0.0392355151442029j</v>
      </c>
      <c r="N126" s="87" t="str">
        <f t="shared" si="10"/>
        <v>0.983413155975819+0.0392355151442029j</v>
      </c>
      <c r="O126" s="87" t="str">
        <f t="shared" si="11"/>
        <v>1.03739766595012+0.514597873884023j</v>
      </c>
      <c r="P126" s="87" t="str">
        <f t="shared" si="12"/>
        <v>14.7177599898342+7.30069890042358j</v>
      </c>
      <c r="R126" s="87">
        <f t="shared" si="13"/>
        <v>23.645320197044338</v>
      </c>
      <c r="S126" s="87" t="str">
        <f t="shared" si="14"/>
        <v>1+0.000818919347550195j</v>
      </c>
      <c r="T126" s="87" t="str">
        <f t="shared" si="15"/>
        <v>0.983413155975819+0.0392355151442029j</v>
      </c>
      <c r="U126" s="87" t="str">
        <f t="shared" si="16"/>
        <v>1.01528370967969-0.0396743319754908j</v>
      </c>
      <c r="V126" s="87" t="str">
        <f t="shared" si="17"/>
        <v>24.0067084062193-0.938112283164315j</v>
      </c>
      <c r="X126" s="87" t="str">
        <f t="shared" si="18"/>
        <v>1.12486777319836+0.541082792090419j</v>
      </c>
      <c r="Y126" s="87">
        <f t="shared" si="19"/>
        <v>1.9259479660314607</v>
      </c>
      <c r="Z126" s="87">
        <f t="shared" si="20"/>
        <v>-154.31156062648665</v>
      </c>
      <c r="AB126" s="87" t="str">
        <f t="shared" si="21"/>
        <v>9.11973742624122-0.356372791889029j</v>
      </c>
      <c r="AC126" s="87">
        <f t="shared" si="22"/>
        <v>19.206273388196237</v>
      </c>
      <c r="AD126" s="87">
        <f t="shared" si="23"/>
        <v>177.76218631724191</v>
      </c>
      <c r="AF126" s="87" t="str">
        <f t="shared" si="24"/>
        <v>3.99044775723799-1.18385503220274j</v>
      </c>
      <c r="AG126" s="87">
        <f t="shared" si="25"/>
        <v>12.386779068299534</v>
      </c>
      <c r="AH126" s="87">
        <f t="shared" si="26"/>
        <v>163.47583963044846</v>
      </c>
      <c r="AJ126" s="87" t="str">
        <f t="shared" si="27"/>
        <v>157499.995341979-27.0857566191686j</v>
      </c>
      <c r="AK126" s="87" t="str">
        <f t="shared" si="28"/>
        <v>30000-9.82703217060234E-06j</v>
      </c>
      <c r="AL126" s="87" t="str">
        <f t="shared" si="43"/>
        <v>10000-2035202.45510442j</v>
      </c>
      <c r="AM126" s="87" t="str">
        <f t="shared" si="44"/>
        <v>963.128060663804-631617.818718764j</v>
      </c>
      <c r="AN126" s="87" t="str">
        <f t="shared" si="45"/>
        <v>10963.1280606638-631617.818718764j</v>
      </c>
      <c r="AO126" s="87" t="str">
        <f t="shared" si="46"/>
        <v>29907.9753797983-1418.94411989347j</v>
      </c>
      <c r="AP126" s="87" t="str">
        <f t="shared" si="47"/>
        <v>0.160000000635981+0.0000231131356226531j</v>
      </c>
      <c r="AQ126" s="87" t="str">
        <f t="shared" si="29"/>
        <v>1+1.49370888993156j</v>
      </c>
      <c r="AR126" s="87">
        <f t="shared" si="51"/>
        <v>9.8369030520569762E-8</v>
      </c>
      <c r="AS126" s="87" t="str">
        <f t="shared" si="31"/>
        <v>0.0000831342899998763j</v>
      </c>
      <c r="AT126" s="87" t="str">
        <f t="shared" si="32"/>
        <v>9.83690305205698E-08+0.0000831342899998763j</v>
      </c>
      <c r="AU126" s="87" t="str">
        <f t="shared" si="33"/>
        <v>5.39448903049947-3.60223620535356j</v>
      </c>
      <c r="AW126" s="87" t="str">
        <f t="shared" si="48"/>
        <v>0.858779627490977-0.582753647851444j</v>
      </c>
      <c r="AX126" s="87">
        <f t="shared" si="34"/>
        <v>0.32257744629421381</v>
      </c>
      <c r="AY126" s="87">
        <f t="shared" si="35"/>
        <v>145.83983359168062</v>
      </c>
      <c r="AZ126" s="87" t="str">
        <f t="shared" si="36"/>
        <v>7.62416716525462-5.62060594605579j</v>
      </c>
      <c r="BA126" s="87">
        <f t="shared" si="37"/>
        <v>19.528850834490449</v>
      </c>
      <c r="BB126" s="87">
        <f t="shared" si="38"/>
        <v>143.60201990892253</v>
      </c>
      <c r="BD126" s="87" t="str">
        <f t="shared" si="39"/>
        <v>2.73701939993961-3.34211857064944j</v>
      </c>
      <c r="BE126" s="87">
        <f t="shared" si="40"/>
        <v>12.709356514593747</v>
      </c>
      <c r="BF126" s="87">
        <f t="shared" si="41"/>
        <v>129.31567322212908</v>
      </c>
      <c r="BH126" s="87">
        <f t="shared" si="49"/>
        <v>-11.709356514593747</v>
      </c>
      <c r="BI126" s="107">
        <f t="shared" si="50"/>
        <v>-129.31567322212908</v>
      </c>
      <c r="BJ126" s="91"/>
      <c r="BK126" s="91"/>
      <c r="BL126" s="91"/>
      <c r="BM126" s="91"/>
      <c r="BN126" s="42"/>
      <c r="BO126" s="42"/>
      <c r="BP126" s="42"/>
    </row>
    <row r="127" spans="1:68" s="87" customFormat="1">
      <c r="A127" s="87">
        <v>63</v>
      </c>
      <c r="B127" s="87">
        <f t="shared" si="42"/>
        <v>1819.7008586099842</v>
      </c>
      <c r="C127" s="87" t="str">
        <f t="shared" si="0"/>
        <v>11433.5176982803j</v>
      </c>
      <c r="D127" s="87">
        <f t="shared" si="1"/>
        <v>0.9999345913834109</v>
      </c>
      <c r="E127" s="87" t="str">
        <f t="shared" si="2"/>
        <v>-0.0127039085536448j</v>
      </c>
      <c r="F127" s="87" t="str">
        <f t="shared" si="3"/>
        <v>0.999934591383411-0.0127039085536448j</v>
      </c>
      <c r="G127" s="87">
        <f t="shared" si="4"/>
        <v>1.3278931708191313E-4</v>
      </c>
      <c r="H127" s="87">
        <f t="shared" si="5"/>
        <v>-0.7278887949478825</v>
      </c>
      <c r="J127" s="87">
        <f t="shared" si="6"/>
        <v>14.187192118226601</v>
      </c>
      <c r="K127" s="87" t="str">
        <f t="shared" si="7"/>
        <v>1+0.572533398741386j</v>
      </c>
      <c r="L127" s="87">
        <f t="shared" si="8"/>
        <v>0.98181288718465742</v>
      </c>
      <c r="M127" s="87" t="str">
        <f t="shared" si="9"/>
        <v>0.0410846280049782j</v>
      </c>
      <c r="N127" s="87" t="str">
        <f t="shared" si="10"/>
        <v>0.981812887184657+0.0410846280049782j</v>
      </c>
      <c r="O127" s="87" t="str">
        <f t="shared" si="11"/>
        <v>1.04110282522906+0.539573357985759j</v>
      </c>
      <c r="P127" s="87" t="str">
        <f t="shared" si="12"/>
        <v>14.7703257963532+7.65503089162062j</v>
      </c>
      <c r="R127" s="87">
        <f t="shared" si="13"/>
        <v>23.645320197044338</v>
      </c>
      <c r="S127" s="87" t="str">
        <f t="shared" si="14"/>
        <v>1+0.000857513827371022j</v>
      </c>
      <c r="T127" s="87" t="str">
        <f t="shared" si="15"/>
        <v>0.981812887184657+0.0410846280049782j</v>
      </c>
      <c r="U127" s="87" t="str">
        <f t="shared" si="16"/>
        <v>1.01678011509789-0.0416744570155446j</v>
      </c>
      <c r="V127" s="87" t="str">
        <f t="shared" si="17"/>
        <v>24.0420913914772-0.985405880170513j</v>
      </c>
      <c r="X127" s="87" t="str">
        <f t="shared" si="18"/>
        <v>1.12951399804276+0.56730867741214j</v>
      </c>
      <c r="Y127" s="87">
        <f t="shared" si="19"/>
        <v>2.0347919920253563</v>
      </c>
      <c r="Z127" s="87">
        <f t="shared" si="20"/>
        <v>-153.33149317664436</v>
      </c>
      <c r="AB127" s="87" t="str">
        <f t="shared" si="21"/>
        <v>9.13317881643301-0.374338819523507j</v>
      </c>
      <c r="AC127" s="87">
        <f t="shared" si="22"/>
        <v>19.219728845443932</v>
      </c>
      <c r="AD127" s="87">
        <f t="shared" si="23"/>
        <v>177.65294901825609</v>
      </c>
      <c r="AF127" s="87" t="str">
        <f t="shared" si="24"/>
        <v>3.96091775297743-1.23098595910275j</v>
      </c>
      <c r="AG127" s="87">
        <f t="shared" si="25"/>
        <v>12.356343785444732</v>
      </c>
      <c r="AH127" s="87">
        <f t="shared" si="26"/>
        <v>162.73564283408007</v>
      </c>
      <c r="AJ127" s="87" t="str">
        <f t="shared" si="27"/>
        <v>157499.994892582-28.3622689205635j</v>
      </c>
      <c r="AK127" s="87" t="str">
        <f t="shared" si="28"/>
        <v>30000-0.0000102901659284523j</v>
      </c>
      <c r="AL127" s="87" t="str">
        <f t="shared" si="43"/>
        <v>10000-1943603.25567735j</v>
      </c>
      <c r="AM127" s="87" t="str">
        <f t="shared" si="44"/>
        <v>963.126993683256-603190.634774549j</v>
      </c>
      <c r="AN127" s="87" t="str">
        <f t="shared" si="45"/>
        <v>10963.1269936833-603190.634774549j</v>
      </c>
      <c r="AO127" s="87" t="str">
        <f t="shared" si="46"/>
        <v>29899.1378710992-1485.21599366587j</v>
      </c>
      <c r="AP127" s="87" t="str">
        <f t="shared" si="47"/>
        <v>0.160000000697339+0.0000242024241436842j</v>
      </c>
      <c r="AQ127" s="87" t="str">
        <f t="shared" si="29"/>
        <v>1+1.56410522112475j</v>
      </c>
      <c r="AR127" s="87">
        <f t="shared" si="51"/>
        <v>9.8211677527229754E-8</v>
      </c>
      <c r="AS127" s="87" t="str">
        <f t="shared" si="31"/>
        <v>0.0000870522883808126j</v>
      </c>
      <c r="AT127" s="87" t="str">
        <f t="shared" si="32"/>
        <v>9.82116775272298E-08+0.0000870522883808126j</v>
      </c>
      <c r="AU127" s="87" t="str">
        <f t="shared" si="33"/>
        <v>5.39410778205048-3.44011905024165j</v>
      </c>
      <c r="AW127" s="87" t="str">
        <f t="shared" si="48"/>
        <v>0.858714123149176-0.557115820395129j</v>
      </c>
      <c r="AX127" s="87">
        <f t="shared" si="34"/>
        <v>0.20265123278377206</v>
      </c>
      <c r="AY127" s="87">
        <f t="shared" si="35"/>
        <v>147.0253334843913</v>
      </c>
      <c r="AZ127" s="87" t="str">
        <f t="shared" si="36"/>
        <v>7.63423956037332-5.40968844030032j</v>
      </c>
      <c r="BA127" s="87">
        <f t="shared" si="37"/>
        <v>19.422380078227711</v>
      </c>
      <c r="BB127" s="87">
        <f t="shared" si="38"/>
        <v>144.67828250264736</v>
      </c>
      <c r="BD127" s="87" t="str">
        <f t="shared" si="39"/>
        <v>2.71549426261361-3.26375497194752j</v>
      </c>
      <c r="BE127" s="87">
        <f t="shared" si="40"/>
        <v>12.558995018228515</v>
      </c>
      <c r="BF127" s="87">
        <f t="shared" si="41"/>
        <v>129.76097631847139</v>
      </c>
      <c r="BH127" s="87">
        <f t="shared" si="49"/>
        <v>-11.558995018228515</v>
      </c>
      <c r="BI127" s="107">
        <f t="shared" si="50"/>
        <v>-129.76097631847139</v>
      </c>
      <c r="BJ127" s="91"/>
      <c r="BK127" s="91"/>
      <c r="BL127" s="91"/>
      <c r="BM127" s="91"/>
      <c r="BN127" s="42"/>
      <c r="BO127" s="42"/>
      <c r="BP127" s="42"/>
    </row>
    <row r="128" spans="1:68" s="87" customFormat="1">
      <c r="A128" s="87">
        <v>64</v>
      </c>
      <c r="B128" s="87">
        <f t="shared" ref="B128:B191" si="52">Fstart*10^(Step*A128)</f>
        <v>1905.4607179632476</v>
      </c>
      <c r="C128" s="87" t="str">
        <f t="shared" ref="C128:C191" si="53">COMPLEX(0,2*PI()*B128,"j")</f>
        <v>11972.3627865145j</v>
      </c>
      <c r="D128" s="87">
        <f t="shared" ref="D128:D191" si="54">(IMPRODUCT(C128,C128))/wn^2 + 1</f>
        <v>0.99992828087807006</v>
      </c>
      <c r="E128" s="87" t="str">
        <f t="shared" ref="E128:E191" si="55">IMDIV(C128,wn*Qn)</f>
        <v>-0.0133026253183494j</v>
      </c>
      <c r="F128" s="87" t="str">
        <f t="shared" ref="F128:F191" si="56">IMSUM(D128,E128)</f>
        <v>0.99992828087807-0.0133026253183494j</v>
      </c>
      <c r="G128" s="87">
        <f t="shared" ref="G128:G191" si="57">20*LOG(IMABS(F128),10)</f>
        <v>1.4560234158542213E-4</v>
      </c>
      <c r="H128" s="87">
        <f t="shared" ref="H128:H191" si="58">(IMARGUMENT(F128)*(180/PI()))</f>
        <v>-0.76219399072392746</v>
      </c>
      <c r="J128" s="87">
        <f t="shared" ref="J128:J191" si="59">Vin/(Rout+DCR/1000)</f>
        <v>14.187192118226601</v>
      </c>
      <c r="K128" s="87" t="str">
        <f t="shared" ref="K128:K191" si="60">IMSUM(1,IMPRODUCT(C128,ncap*(Cap*10^-6)*(Rout+(ESR/(ncap*1000)))))</f>
        <v>1+0.599516066534714j</v>
      </c>
      <c r="L128" s="87">
        <f t="shared" ref="L128:L191" si="61">(IMPRODUCT(C128,C128))/Gdo^2 + 1</f>
        <v>0.98005822734718062</v>
      </c>
      <c r="M128" s="87" t="str">
        <f t="shared" ref="M128:M191" si="62">IMDIV(C128,Q*Gdo)</f>
        <v>0.043020886870064j</v>
      </c>
      <c r="N128" s="87" t="str">
        <f t="shared" ref="N128:N191" si="63">IMSUM(L128,M128)</f>
        <v>0.980058227347181+0.043020886870064j</v>
      </c>
      <c r="O128" s="87" t="str">
        <f t="shared" ref="O128:O191" si="64">IMDIV(K128,N128)</f>
        <v>1.04518557707497+0.565835009177166j</v>
      </c>
      <c r="P128" s="87" t="str">
        <f t="shared" ref="P128:P191" si="65">IMPRODUCT(J128,O128)</f>
        <v>14.8282485811621+8.02760998241497j</v>
      </c>
      <c r="R128" s="87">
        <f t="shared" ref="R128:R191" si="66">Vin/(1+((DCR*10^-3)/Rout))</f>
        <v>23.645320197044338</v>
      </c>
      <c r="S128" s="87" t="str">
        <f t="shared" ref="S128:S191" si="67">IMSUM(1,IMPRODUCT(C128,ncap*(Cap*10^-6)*(ESR/(ncap*1000))))</f>
        <v>1+0.000897927208988587j</v>
      </c>
      <c r="T128" s="87" t="str">
        <f t="shared" ref="T128:T191" si="68">IMSUM(L128,M128)</f>
        <v>0.980058227347181+0.043020886870064j</v>
      </c>
      <c r="U128" s="87" t="str">
        <f t="shared" ref="U128:U191" si="69">IMDIV(S128,T128)</f>
        <v>1.0184253714995-0.0437888630352689j</v>
      </c>
      <c r="V128" s="87" t="str">
        <f t="shared" ref="V128:V191" si="70">IMPRODUCT(R128,U128)</f>
        <v>24.0809940058995-1.03540168753345j</v>
      </c>
      <c r="X128" s="87" t="str">
        <f t="shared" ref="X128:X191" si="71">IMPRODUCT(Fm,Dmax,P128,F128)</f>
        <v>1.1346321522622+0.59487983924535j</v>
      </c>
      <c r="Y128" s="87">
        <f t="shared" ref="Y128:Y191" si="72">20*LOG(IMABS(X128),10)</f>
        <v>2.1518059864984589</v>
      </c>
      <c r="Z128" s="87">
        <f t="shared" ref="Z128:Z191" si="73">IF((IMARGUMENT(X128)*(180/PI()))&lt;0,(IMARGUMENT(X128)*(180/PI()))+180,(IMARGUMENT(X128)*(180/PI()))-180)</f>
        <v>-152.33228622325865</v>
      </c>
      <c r="AB128" s="87" t="str">
        <f t="shared" ref="AB128:AB191" si="74">IMPRODUCT(Fm,V128)</f>
        <v>9.14795725347329-0.393331370599139j</v>
      </c>
      <c r="AC128" s="87">
        <f t="shared" ref="AC128:AC191" si="75">20*LOG(IMABS(AB128),10)</f>
        <v>19.234503966906619</v>
      </c>
      <c r="AD128" s="87">
        <f t="shared" ref="AD128:AD191" si="76">IF((IMARGUMENT(AB128)*(180/PI()))&lt;0,(IMARGUMENT(AB128)*(180/PI()))+180,(IMARGUMENT(AB128)*(180/PI()))-180)</f>
        <v>177.5379907675742</v>
      </c>
      <c r="AF128" s="87" t="str">
        <f t="shared" ref="AF128:AF191" si="77">IMDIV(AB128,IMSUM(1,X128))</f>
        <v>3.92900836398946-1.27919896253273j</v>
      </c>
      <c r="AG128" s="87">
        <f t="shared" ref="AG128:AG191" si="78">20*LOG(IMABS(AF128),10)</f>
        <v>12.323214577355335</v>
      </c>
      <c r="AH128" s="87">
        <f t="shared" ref="AH128:AH191" si="79">IF((IMARGUMENT(AF128)*(180/PI()))&lt;0,(IMARGUMENT(AF128)*(180/PI()))+180,(IMARGUMENT(AF128)*(180/PI()))-180)</f>
        <v>161.96588666931038</v>
      </c>
      <c r="AJ128" s="87" t="str">
        <f t="shared" ref="AJ128:AJ191" si="80">IMDIV(_Rfb1,IMSUM(1,IMPRODUCT(C128,_Cfb1*_Rfb1)))</f>
        <v>157499.994399828-29.6989413813026j</v>
      </c>
      <c r="AK128" s="87" t="str">
        <f t="shared" ref="AK128:AK191" si="81">IMDIV(_Rfb2,IMSUM(1,IMPRODUCT(C128,_Cfb2*_Rfb2)))</f>
        <v>30000-0.000010775126507863j</v>
      </c>
      <c r="AL128" s="87" t="str">
        <f t="shared" si="43"/>
        <v>10000-1856126.699339j</v>
      </c>
      <c r="AM128" s="87" t="str">
        <f t="shared" si="44"/>
        <v>963.125823765061-576042.899037136j</v>
      </c>
      <c r="AN128" s="87" t="str">
        <f t="shared" si="45"/>
        <v>10963.1258237651-576042.899037136j</v>
      </c>
      <c r="AO128" s="87" t="str">
        <f t="shared" si="46"/>
        <v>29889.4559584701-1554.52272427058j</v>
      </c>
      <c r="AP128" s="87" t="str">
        <f t="shared" si="47"/>
        <v>0.160000000764616+0.000025343049250858j</v>
      </c>
      <c r="AQ128" s="87" t="str">
        <f t="shared" ref="AQ128:AQ191" si="82">IMSUM(1,IMPRODUCT(C128,_res1*_Cap1))</f>
        <v>1+1.63781922919518j</v>
      </c>
      <c r="AR128" s="87">
        <f t="shared" ref="AR128:AR191" si="83">(IMPRODUCT(C128,C128))*_res1*_Cap1*_cap2 + (1/Roerr)</f>
        <v>9.8039143400934573E-8</v>
      </c>
      <c r="AS128" s="87" t="str">
        <f t="shared" ref="AS128:AS191" si="84">IMPRODUCT(C128,(_Cap1+_cap2+(_Cap1*_res1/Roerr)))</f>
        <v>0.0000911549363367084j</v>
      </c>
      <c r="AT128" s="87" t="str">
        <f t="shared" ref="AT128:AT191" si="85">IMSUM(AR128,AS128)</f>
        <v>9.80391434009346E-08+0.0000911549363367084j</v>
      </c>
      <c r="AU128" s="87" t="str">
        <f t="shared" ref="AU128:AU191" si="86">IMPRODUCT(EA_BW,IMDIV(AQ128,AT128))</f>
        <v>5.39376007921089-3.28529877170817j</v>
      </c>
      <c r="AW128" s="87" t="str">
        <f t="shared" si="48"/>
        <v>0.858653551663887-0.532659691311894j</v>
      </c>
      <c r="AX128" s="87">
        <f t="shared" ref="AX128:AX191" si="87">20*LOG(IMABS(AW128),10)</f>
        <v>9.0309606220560792E-2</v>
      </c>
      <c r="AY128" s="87">
        <f t="shared" ref="AY128:AY191" si="88">IF((IMARGUMENT(AW128)*(180/PI()))&lt;0,(IMARGUMENT(AW128)*(180/PI()))+180,(IMARGUMENT(AW128)*(180/PI()))-180)</f>
        <v>148.18689510219949</v>
      </c>
      <c r="AZ128" s="87" t="str">
        <f t="shared" ref="AZ128:AZ191" si="89">IMPRODUCT(AW128,Fm,V128)</f>
        <v>7.64541421971764-5.21048346511526j</v>
      </c>
      <c r="BA128" s="87">
        <f t="shared" ref="BA128:BA191" si="90">20*LOG(IMABS(AZ128),10)</f>
        <v>19.32481357312718</v>
      </c>
      <c r="BB128" s="87">
        <f t="shared" ref="BB128:BB191" si="91">IF((IMARGUMENT(AZ128)*(180/PI()))&lt;0,(IMARGUMENT(AZ128)*(180/PI()))+180,(IMARGUMENT(AZ128)*(180/PI()))-180)</f>
        <v>145.72488586977369</v>
      </c>
      <c r="BD128" s="87" t="str">
        <f t="shared" ref="BD128:BD191" si="92">IMDIV(AZ128,IMSUM(1,X128))</f>
        <v>2.69227926174749-3.19121311478797j</v>
      </c>
      <c r="BE128" s="87">
        <f t="shared" ref="BE128:BE191" si="93">20*LOG(IMABS(BD128),10)</f>
        <v>12.413524183575904</v>
      </c>
      <c r="BF128" s="87">
        <f t="shared" ref="BF128:BF191" si="94">IF((IMARGUMENT(BD128)*(180/PI()))&lt;0,(IMARGUMENT(BD128)*(180/PI()))+180,(IMARGUMENT(BD128)*(180/PI()))-180)</f>
        <v>130.15278177150981</v>
      </c>
      <c r="BH128" s="87">
        <f t="shared" si="49"/>
        <v>-11.413524183575904</v>
      </c>
      <c r="BI128" s="107">
        <f t="shared" si="50"/>
        <v>-130.15278177150981</v>
      </c>
      <c r="BJ128" s="91"/>
      <c r="BK128" s="91"/>
      <c r="BL128" s="91"/>
      <c r="BM128" s="91"/>
      <c r="BN128" s="42"/>
      <c r="BO128" s="42"/>
      <c r="BP128" s="42"/>
    </row>
    <row r="129" spans="1:68" s="87" customFormat="1">
      <c r="A129" s="87">
        <v>65</v>
      </c>
      <c r="B129" s="87">
        <f t="shared" si="52"/>
        <v>1995.2623149688804</v>
      </c>
      <c r="C129" s="87" t="str">
        <f t="shared" si="53"/>
        <v>12536.6028613816j</v>
      </c>
      <c r="D129" s="87">
        <f t="shared" si="54"/>
        <v>0.99992136154655731</v>
      </c>
      <c r="E129" s="87" t="str">
        <f t="shared" si="55"/>
        <v>-0.0139295587348684j</v>
      </c>
      <c r="F129" s="87" t="str">
        <f t="shared" si="56"/>
        <v>0.999921361546557-0.0139295587348684j</v>
      </c>
      <c r="G129" s="87">
        <f t="shared" si="57"/>
        <v>1.5965189768066902E-4</v>
      </c>
      <c r="H129" s="87">
        <f t="shared" si="58"/>
        <v>-0.79811606703209903</v>
      </c>
      <c r="J129" s="87">
        <f t="shared" si="59"/>
        <v>14.187192118226601</v>
      </c>
      <c r="K129" s="87" t="str">
        <f t="shared" si="60"/>
        <v>1+0.627770388283684j</v>
      </c>
      <c r="L129" s="87">
        <f t="shared" si="61"/>
        <v>0.97813428109373901</v>
      </c>
      <c r="M129" s="87" t="str">
        <f t="shared" si="62"/>
        <v>0.0450483988041124j</v>
      </c>
      <c r="N129" s="87" t="str">
        <f t="shared" si="63"/>
        <v>0.978134281093739+0.0450483988041124j</v>
      </c>
      <c r="O129" s="87" t="str">
        <f t="shared" si="64"/>
        <v>1.04968657989158+0.593460120796823j</v>
      </c>
      <c r="P129" s="87" t="str">
        <f t="shared" si="65"/>
        <v>14.8921051728461+8.41953274825049j</v>
      </c>
      <c r="R129" s="87">
        <f t="shared" si="66"/>
        <v>23.645320197044338</v>
      </c>
      <c r="S129" s="87" t="str">
        <f t="shared" si="67"/>
        <v>1+0.00094024521460362j</v>
      </c>
      <c r="T129" s="87" t="str">
        <f t="shared" si="68"/>
        <v>0.978134281093739+0.0450483988041124j</v>
      </c>
      <c r="U129" s="87" t="str">
        <f t="shared" si="69"/>
        <v>1.02023476488855-0.0460260909141996j</v>
      </c>
      <c r="V129" s="87" t="str">
        <f t="shared" si="70"/>
        <v>24.123777691946-1.08830165708452j</v>
      </c>
      <c r="X129" s="87" t="str">
        <f t="shared" si="71"/>
        <v>1.14027273348338+0.623876343311609j</v>
      </c>
      <c r="Y129" s="87">
        <f t="shared" si="72"/>
        <v>2.2774369757150765</v>
      </c>
      <c r="Z129" s="87">
        <f t="shared" si="73"/>
        <v>-151.31564956694609</v>
      </c>
      <c r="AB129" s="87" t="str">
        <f t="shared" si="74"/>
        <v>9.1642100431631-0.413427163158395j</v>
      </c>
      <c r="AC129" s="87">
        <f t="shared" si="75"/>
        <v>19.250730489169502</v>
      </c>
      <c r="AD129" s="87">
        <f t="shared" si="76"/>
        <v>177.41695341470933</v>
      </c>
      <c r="AF129" s="87" t="str">
        <f t="shared" si="77"/>
        <v>3.89457224103982-1.32840950930299j</v>
      </c>
      <c r="AG129" s="87">
        <f t="shared" si="78"/>
        <v>12.287176156817896</v>
      </c>
      <c r="AH129" s="87">
        <f t="shared" si="79"/>
        <v>161.16587440218623</v>
      </c>
      <c r="AJ129" s="87" t="str">
        <f t="shared" si="80"/>
        <v>157499.993859533-31.0986092605703j</v>
      </c>
      <c r="AK129" s="87" t="str">
        <f t="shared" si="81"/>
        <v>30000-0.0000112829425752434j</v>
      </c>
      <c r="AL129" s="87" t="str">
        <f t="shared" ref="AL129:AL192" si="95">IMDIV(IMSUM(1,IMPRODUCT(C129,10000,0.000000000045)),IMPRODUCT(C129,0.000000000045))</f>
        <v>10000-1772587.23658518j</v>
      </c>
      <c r="AM129" s="87" t="str">
        <f t="shared" ref="AM129:AM192" si="96">IMDIV(AL129,IMSUM(1,IMPRODUCT(C129,AL129,0.0000000001)))</f>
        <v>963.124540978539-550117.027519154j</v>
      </c>
      <c r="AN129" s="87" t="str">
        <f t="shared" ref="AN129:AN192" si="97">IMSUM(10000,AM129)</f>
        <v>10963.1245409785-550117.027519154j</v>
      </c>
      <c r="AO129" s="87" t="str">
        <f t="shared" ref="AO129:AO192" si="98">IMDIV(IMPRODUCT(AN129,AK129),IMSUM(AN129,AK129))</f>
        <v>29878.8498253624-1626.99438796335j</v>
      </c>
      <c r="AP129" s="87" t="str">
        <f t="shared" ref="AP129:AP192" si="99">IMDIV(AK129,IMSUM(AJ129,AK129))</f>
        <v>0.160000000838385+0.0000265374303629031j</v>
      </c>
      <c r="AQ129" s="87" t="str">
        <f t="shared" si="82"/>
        <v>1+1.715007271437j</v>
      </c>
      <c r="AR129" s="87">
        <f t="shared" si="83"/>
        <v>9.7849963493361266E-8</v>
      </c>
      <c r="AS129" s="87" t="str">
        <f t="shared" si="84"/>
        <v>0.00009545093613393j</v>
      </c>
      <c r="AT129" s="87" t="str">
        <f t="shared" si="85"/>
        <v>9.78499634933613E-08+0.00009545093613393j</v>
      </c>
      <c r="AU129" s="87" t="str">
        <f t="shared" si="86"/>
        <v>5.39344297034148-3.13744698514062j</v>
      </c>
      <c r="AW129" s="87" t="str">
        <f t="shared" ref="AW129:AW192" si="100">IMDIV(IMPRODUCT(AP129,AU129),IMPRODUCT(IMSUM(1,IMPRODUCT(C129,1/1500000)),IMSUM(1,IMPRODUCT(C129,1/35000000))))</f>
        <v>0.858597398860595-0.50933338648361j</v>
      </c>
      <c r="AX129" s="87">
        <f t="shared" si="87"/>
        <v>-1.4747629479423967E-2</v>
      </c>
      <c r="AY129" s="87">
        <f t="shared" si="88"/>
        <v>149.32292006490141</v>
      </c>
      <c r="AZ129" s="87" t="str">
        <f t="shared" si="89"/>
        <v>7.6577946485962-5.02260562263748j</v>
      </c>
      <c r="BA129" s="87">
        <f t="shared" si="90"/>
        <v>19.235982859690075</v>
      </c>
      <c r="BB129" s="87">
        <f t="shared" si="91"/>
        <v>146.73987347961076</v>
      </c>
      <c r="BD129" s="87" t="str">
        <f t="shared" si="92"/>
        <v>2.66726628182115-3.12420461774309j</v>
      </c>
      <c r="BE129" s="87">
        <f t="shared" si="93"/>
        <v>12.272428527338462</v>
      </c>
      <c r="BF129" s="87">
        <f t="shared" si="94"/>
        <v>130.48879446708781</v>
      </c>
      <c r="BH129" s="87">
        <f t="shared" ref="BH129:BH192" si="101">1-BE129</f>
        <v>-11.272428527338462</v>
      </c>
      <c r="BI129" s="107">
        <f t="shared" ref="BI129:BI192" si="102">+-1*BF129</f>
        <v>-130.48879446708781</v>
      </c>
      <c r="BJ129" s="91"/>
      <c r="BK129" s="91"/>
      <c r="BL129" s="91"/>
      <c r="BM129" s="91"/>
      <c r="BN129" s="42"/>
      <c r="BO129" s="42"/>
      <c r="BP129" s="42"/>
    </row>
    <row r="130" spans="1:68" s="87" customFormat="1">
      <c r="A130" s="87">
        <v>66</v>
      </c>
      <c r="B130" s="87">
        <f t="shared" si="52"/>
        <v>2089.2961308540398</v>
      </c>
      <c r="C130" s="87" t="str">
        <f t="shared" si="53"/>
        <v>13127.4347517293j</v>
      </c>
      <c r="D130" s="87">
        <f t="shared" si="54"/>
        <v>0.99991377465042175</v>
      </c>
      <c r="E130" s="87" t="str">
        <f t="shared" si="55"/>
        <v>-0.0145860386130326j</v>
      </c>
      <c r="F130" s="87" t="str">
        <f t="shared" si="56"/>
        <v>0.999913774650422-0.0145860386130326j</v>
      </c>
      <c r="G130" s="87">
        <f t="shared" si="57"/>
        <v>1.7505735532737159E-4</v>
      </c>
      <c r="H130" s="87">
        <f t="shared" si="58"/>
        <v>-0.83573124383570541</v>
      </c>
      <c r="J130" s="87">
        <f t="shared" si="59"/>
        <v>14.187192118226601</v>
      </c>
      <c r="K130" s="87" t="str">
        <f t="shared" si="60"/>
        <v>1+0.657356295192845j</v>
      </c>
      <c r="L130" s="87">
        <f t="shared" si="61"/>
        <v>0.97602471597628881</v>
      </c>
      <c r="M130" s="87" t="str">
        <f t="shared" si="62"/>
        <v>0.0471714644317682j</v>
      </c>
      <c r="N130" s="87" t="str">
        <f t="shared" si="63"/>
        <v>0.976024715976289+0.0471714644317682j</v>
      </c>
      <c r="O130" s="87" t="str">
        <f t="shared" si="64"/>
        <v>1.05465132217653+0.622532235009137j</v>
      </c>
      <c r="P130" s="87" t="str">
        <f t="shared" si="65"/>
        <v>14.9625409254601+8.83198441786362j</v>
      </c>
      <c r="R130" s="87">
        <f t="shared" si="66"/>
        <v>23.645320197044338</v>
      </c>
      <c r="S130" s="87" t="str">
        <f t="shared" si="67"/>
        <v>1+0.000984557606379698j</v>
      </c>
      <c r="T130" s="87" t="str">
        <f t="shared" si="68"/>
        <v>0.976024715976289+0.0471714644317682j</v>
      </c>
      <c r="U130" s="87" t="str">
        <f t="shared" si="69"/>
        <v>1.02222524923524-0.0483956026993922j</v>
      </c>
      <c r="V130" s="87" t="str">
        <f t="shared" si="70"/>
        <v>24.1708433316707-1.14432952195607j</v>
      </c>
      <c r="X130" s="87" t="str">
        <f t="shared" si="71"/>
        <v>1.14649217472621+0.65438462170699j</v>
      </c>
      <c r="Y130" s="87">
        <f t="shared" si="72"/>
        <v>2.4121354494232059</v>
      </c>
      <c r="Z130" s="87">
        <f t="shared" si="73"/>
        <v>-150.28352355599125</v>
      </c>
      <c r="AB130" s="87" t="str">
        <f t="shared" si="74"/>
        <v>9.18208947372994-0.434711189586986j</v>
      </c>
      <c r="AC130" s="87">
        <f t="shared" si="75"/>
        <v>19.26855377395292</v>
      </c>
      <c r="AD130" s="87">
        <f t="shared" si="76"/>
        <v>177.2894478295328</v>
      </c>
      <c r="AF130" s="87" t="str">
        <f t="shared" si="77"/>
        <v>3.85746090924482-1.37851622394574j</v>
      </c>
      <c r="AG130" s="87">
        <f t="shared" si="78"/>
        <v>12.248000223386772</v>
      </c>
      <c r="AH130" s="87">
        <f t="shared" si="79"/>
        <v>160.33495841656665</v>
      </c>
      <c r="AJ130" s="87" t="str">
        <f t="shared" si="80"/>
        <v>157499.993267112-32.5642414389362j</v>
      </c>
      <c r="AK130" s="87" t="str">
        <f t="shared" si="81"/>
        <v>30000-0.0000118146912765564j</v>
      </c>
      <c r="AL130" s="87" t="str">
        <f t="shared" si="95"/>
        <v>10000-1692807.66901506j</v>
      </c>
      <c r="AM130" s="87" t="str">
        <f t="shared" si="96"/>
        <v>963.123134435021-525358.027971052j</v>
      </c>
      <c r="AN130" s="87" t="str">
        <f t="shared" si="97"/>
        <v>10963.123134435-525358.027971052j</v>
      </c>
      <c r="AO130" s="87" t="str">
        <f t="shared" si="98"/>
        <v>29867.2322842437-1702.76531102579j</v>
      </c>
      <c r="AP130" s="87" t="str">
        <f t="shared" si="99"/>
        <v>0.160000000919271+0.0000277881009222329j</v>
      </c>
      <c r="AQ130" s="87" t="str">
        <f t="shared" si="82"/>
        <v>1+1.79583307403657j</v>
      </c>
      <c r="AR130" s="87">
        <f t="shared" si="83"/>
        <v>9.7642531849558749E-8</v>
      </c>
      <c r="AS130" s="87" t="str">
        <f t="shared" si="84"/>
        <v>0.0000999494001640215j</v>
      </c>
      <c r="AT130" s="87" t="str">
        <f t="shared" si="85"/>
        <v>9.76425318495587E-08+0.0000999494001640215j</v>
      </c>
      <c r="AU130" s="87" t="str">
        <f t="shared" si="86"/>
        <v>5.39315376351237-2.99625008574766j</v>
      </c>
      <c r="AW130" s="87" t="str">
        <f t="shared" si="100"/>
        <v>0.858545188077594-0.487087427949823j</v>
      </c>
      <c r="AX130" s="87">
        <f t="shared" si="87"/>
        <v>-0.11283226516303535</v>
      </c>
      <c r="AY130" s="87">
        <f t="shared" si="88"/>
        <v>150.43200387828136</v>
      </c>
      <c r="AZ130" s="87" t="str">
        <f t="shared" si="89"/>
        <v>7.67149637893183-4.84569954498765j</v>
      </c>
      <c r="BA130" s="87">
        <f t="shared" si="90"/>
        <v>19.155721508789881</v>
      </c>
      <c r="BB130" s="87">
        <f t="shared" si="91"/>
        <v>147.7214517078142</v>
      </c>
      <c r="BD130" s="87" t="str">
        <f t="shared" si="92"/>
        <v>2.64034657992073-3.06243918345656j</v>
      </c>
      <c r="BE130" s="87">
        <f t="shared" si="93"/>
        <v>12.135167958223752</v>
      </c>
      <c r="BF130" s="87">
        <f t="shared" si="94"/>
        <v>130.76696229484799</v>
      </c>
      <c r="BH130" s="87">
        <f t="shared" si="101"/>
        <v>-11.135167958223752</v>
      </c>
      <c r="BI130" s="107">
        <f t="shared" si="102"/>
        <v>-130.76696229484799</v>
      </c>
      <c r="BJ130" s="91"/>
      <c r="BK130" s="91"/>
      <c r="BL130" s="91"/>
      <c r="BM130" s="91"/>
      <c r="BN130" s="42"/>
      <c r="BO130" s="42"/>
      <c r="BP130" s="42"/>
    </row>
    <row r="131" spans="1:68" s="87" customFormat="1">
      <c r="A131" s="87">
        <v>67</v>
      </c>
      <c r="B131" s="87">
        <f t="shared" si="52"/>
        <v>2187.7616239495537</v>
      </c>
      <c r="C131" s="87" t="str">
        <f t="shared" si="53"/>
        <v>13746.1116912112j</v>
      </c>
      <c r="D131" s="87">
        <f t="shared" si="54"/>
        <v>0.99990545578423251</v>
      </c>
      <c r="E131" s="87" t="str">
        <f t="shared" si="55"/>
        <v>-0.0152734574346791j</v>
      </c>
      <c r="F131" s="87" t="str">
        <f t="shared" si="56"/>
        <v>0.999905455784233-0.0152734574346791j</v>
      </c>
      <c r="G131" s="87">
        <f t="shared" si="57"/>
        <v>1.9194961554662695E-4</v>
      </c>
      <c r="H131" s="87">
        <f t="shared" si="58"/>
        <v>-0.87511933600815872</v>
      </c>
      <c r="J131" s="87">
        <f t="shared" si="59"/>
        <v>14.187192118226601</v>
      </c>
      <c r="K131" s="87" t="str">
        <f t="shared" si="60"/>
        <v>1+0.688336542937401j</v>
      </c>
      <c r="L131" s="87">
        <f t="shared" si="61"/>
        <v>0.97371162382166077</v>
      </c>
      <c r="M131" s="87" t="str">
        <f t="shared" si="62"/>
        <v>0.049394587059872j</v>
      </c>
      <c r="N131" s="87" t="str">
        <f t="shared" si="63"/>
        <v>0.973711623821661+0.049394587059872j</v>
      </c>
      <c r="O131" s="87" t="str">
        <f t="shared" si="64"/>
        <v>1.06013078942011+0.653141859258547j</v>
      </c>
      <c r="P131" s="87" t="str">
        <f t="shared" si="65"/>
        <v>15.0402791799503+9.26624903775673j</v>
      </c>
      <c r="R131" s="87">
        <f t="shared" si="66"/>
        <v>23.645320197044338</v>
      </c>
      <c r="S131" s="87" t="str">
        <f t="shared" si="67"/>
        <v>1+0.00103095837684084j</v>
      </c>
      <c r="T131" s="87" t="str">
        <f t="shared" si="68"/>
        <v>0.973711623821661+0.049394587059872j</v>
      </c>
      <c r="U131" s="87" t="str">
        <f t="shared" si="69"/>
        <v>1.02441564844018-0.0509079160018448j</v>
      </c>
      <c r="V131" s="87" t="str">
        <f t="shared" si="70"/>
        <v>24.2226360222309-1.20373397442786j</v>
      </c>
      <c r="X131" s="87" t="str">
        <f t="shared" si="71"/>
        <v>1.15335365173966+0.686498189762538j</v>
      </c>
      <c r="Y131" s="87">
        <f t="shared" si="72"/>
        <v>2.5563532972021563</v>
      </c>
      <c r="Z131" s="87">
        <f t="shared" si="73"/>
        <v>-149.23808162601492</v>
      </c>
      <c r="AB131" s="87" t="str">
        <f t="shared" si="74"/>
        <v>9.2017646299619-0.457277923823321j</v>
      </c>
      <c r="AC131" s="87">
        <f t="shared" si="75"/>
        <v>19.288134314879688</v>
      </c>
      <c r="AD131" s="87">
        <f t="shared" si="76"/>
        <v>177.15505008533626</v>
      </c>
      <c r="AF131" s="87" t="str">
        <f t="shared" si="77"/>
        <v>3.81752638559972-1.42939961321336j</v>
      </c>
      <c r="AG131" s="87">
        <f t="shared" si="78"/>
        <v>12.205445428339651</v>
      </c>
      <c r="AH131" s="87">
        <f t="shared" si="79"/>
        <v>159.47255010088895</v>
      </c>
      <c r="AJ131" s="87" t="str">
        <f t="shared" si="80"/>
        <v>157499.992617535-34.0989467156978j</v>
      </c>
      <c r="AK131" s="87" t="str">
        <f t="shared" si="81"/>
        <v>30000-0.0000123715005220901j</v>
      </c>
      <c r="AL131" s="87" t="str">
        <f t="shared" si="95"/>
        <v>10000-1616618.77346962j</v>
      </c>
      <c r="AM131" s="87" t="str">
        <f t="shared" si="96"/>
        <v>963.121592195433-501713.38323515j</v>
      </c>
      <c r="AN131" s="87" t="str">
        <f t="shared" si="97"/>
        <v>10963.1215921954-501713.38323515j</v>
      </c>
      <c r="AO131" s="87" t="str">
        <f t="shared" si="98"/>
        <v>29854.5081308083-1781.97400135426j</v>
      </c>
      <c r="AP131" s="87" t="str">
        <f t="shared" si="99"/>
        <v>0.160000001007961+0.0000290977137687172j</v>
      </c>
      <c r="AQ131" s="87" t="str">
        <f t="shared" si="82"/>
        <v>1+1.88046807935769j</v>
      </c>
      <c r="AR131" s="87">
        <f t="shared" si="83"/>
        <v>9.7415087574939178E-8</v>
      </c>
      <c r="AS131" s="87" t="str">
        <f t="shared" si="84"/>
        <v>0.00010465987027231j</v>
      </c>
      <c r="AT131" s="87" t="str">
        <f t="shared" si="85"/>
        <v>9.74150875749392E-08+0.00010465987027231j</v>
      </c>
      <c r="AU131" s="87" t="str">
        <f t="shared" si="86"/>
        <v>5.39289000365202-2.86140858352702j</v>
      </c>
      <c r="AW131" s="87" t="str">
        <f t="shared" si="100"/>
        <v>0.858496476120378-0.465874628963349j</v>
      </c>
      <c r="AX131" s="87">
        <f t="shared" si="87"/>
        <v>-0.20426419911197741</v>
      </c>
      <c r="AY131" s="87">
        <f t="shared" si="88"/>
        <v>151.51293539759996</v>
      </c>
      <c r="AZ131" s="87" t="str">
        <f t="shared" si="89"/>
        <v>7.68664832581711-4.67944016900153j</v>
      </c>
      <c r="BA131" s="87">
        <f t="shared" si="90"/>
        <v>19.083870115767716</v>
      </c>
      <c r="BB131" s="87">
        <f t="shared" si="91"/>
        <v>148.66798548293627</v>
      </c>
      <c r="BD131" s="87" t="str">
        <f t="shared" si="92"/>
        <v>2.61141193508779-3.00562321936057j</v>
      </c>
      <c r="BE131" s="87">
        <f t="shared" si="93"/>
        <v>12.001181229227678</v>
      </c>
      <c r="BF131" s="87">
        <f t="shared" si="94"/>
        <v>130.98548549848886</v>
      </c>
      <c r="BH131" s="87">
        <f t="shared" si="101"/>
        <v>-11.001181229227678</v>
      </c>
      <c r="BI131" s="107">
        <f t="shared" si="102"/>
        <v>-130.98548549848886</v>
      </c>
      <c r="BJ131" s="91"/>
      <c r="BK131" s="91"/>
      <c r="BL131" s="91"/>
      <c r="BM131" s="91"/>
      <c r="BN131" s="42"/>
      <c r="BO131" s="42"/>
      <c r="BP131" s="42"/>
    </row>
    <row r="132" spans="1:68" s="87" customFormat="1">
      <c r="A132" s="87">
        <v>68</v>
      </c>
      <c r="B132" s="87">
        <f t="shared" si="52"/>
        <v>2290.867652767774</v>
      </c>
      <c r="C132" s="87" t="str">
        <f t="shared" si="53"/>
        <v>14393.9459765635j</v>
      </c>
      <c r="D132" s="87">
        <f t="shared" si="54"/>
        <v>0.99989633432883951</v>
      </c>
      <c r="E132" s="87" t="str">
        <f t="shared" si="55"/>
        <v>-0.0159932733072928j</v>
      </c>
      <c r="F132" s="87" t="str">
        <f t="shared" si="56"/>
        <v>0.99989633432884-0.0159932733072928j</v>
      </c>
      <c r="G132" s="87">
        <f t="shared" si="57"/>
        <v>2.1047222588827232E-4</v>
      </c>
      <c r="H132" s="87">
        <f t="shared" si="58"/>
        <v>-0.91636392316656035</v>
      </c>
      <c r="J132" s="87">
        <f t="shared" si="59"/>
        <v>14.187192118226601</v>
      </c>
      <c r="K132" s="87" t="str">
        <f t="shared" si="60"/>
        <v>1+0.720776844776417j</v>
      </c>
      <c r="L132" s="87">
        <f t="shared" si="61"/>
        <v>0.9711753687084409</v>
      </c>
      <c r="M132" s="87" t="str">
        <f t="shared" si="62"/>
        <v>0.0517224822295776j</v>
      </c>
      <c r="N132" s="87" t="str">
        <f t="shared" si="63"/>
        <v>0.971175368708441+0.0517224822295776j</v>
      </c>
      <c r="O132" s="87" t="str">
        <f t="shared" si="64"/>
        <v>1.06618224186661+0.685387288603909j</v>
      </c>
      <c r="P132" s="87" t="str">
        <f t="shared" si="65"/>
        <v>15.1261322984031+9.72372113881408j</v>
      </c>
      <c r="R132" s="87">
        <f t="shared" si="66"/>
        <v>23.645320197044338</v>
      </c>
      <c r="S132" s="87" t="str">
        <f t="shared" si="67"/>
        <v>1+0.00107954594824226j</v>
      </c>
      <c r="T132" s="87" t="str">
        <f t="shared" si="68"/>
        <v>0.971175368708441+0.0517224822295776j</v>
      </c>
      <c r="U132" s="87" t="str">
        <f t="shared" si="69"/>
        <v>1.02682688672314-0.0535747622206923j</v>
      </c>
      <c r="V132" s="87" t="str">
        <f t="shared" si="70"/>
        <v>24.2796505235028-1.26679240718878j</v>
      </c>
      <c r="X132" s="87" t="str">
        <f t="shared" si="71"/>
        <v>1.16092802233342+0.720318467091356j</v>
      </c>
      <c r="Y132" s="87">
        <f t="shared" si="72"/>
        <v>2.7105418541368826</v>
      </c>
      <c r="Z132" s="87">
        <f t="shared" si="73"/>
        <v>-148.1817301265271</v>
      </c>
      <c r="AB132" s="87" t="str">
        <f t="shared" si="74"/>
        <v>9.22342346266356-0.481232742599764j</v>
      </c>
      <c r="AC132" s="87">
        <f t="shared" si="75"/>
        <v>19.309649430804569</v>
      </c>
      <c r="AD132" s="87">
        <f t="shared" si="76"/>
        <v>177.01329703831752</v>
      </c>
      <c r="AF132" s="87" t="str">
        <f t="shared" si="77"/>
        <v>3.77462308368688-1.48092089278991j</v>
      </c>
      <c r="AG132" s="87">
        <f t="shared" si="78"/>
        <v>12.159257493188703</v>
      </c>
      <c r="AH132" s="87">
        <f t="shared" si="79"/>
        <v>158.57813043455187</v>
      </c>
      <c r="AJ132" s="87" t="str">
        <f t="shared" si="80"/>
        <v>157499.991905288-35.705980403004j</v>
      </c>
      <c r="AK132" s="87" t="str">
        <f t="shared" si="81"/>
        <v>30000-0.0000129545513789072j</v>
      </c>
      <c r="AL132" s="87" t="str">
        <f t="shared" si="95"/>
        <v>10000-1543858.94308655j</v>
      </c>
      <c r="AM132" s="87" t="str">
        <f t="shared" si="96"/>
        <v>963.119901169031-479132.939849703j</v>
      </c>
      <c r="AN132" s="87" t="str">
        <f t="shared" si="97"/>
        <v>10963.119901169-479132.939849703j</v>
      </c>
      <c r="AO132" s="87" t="str">
        <f t="shared" si="98"/>
        <v>29840.5734486895-1864.7630395153j</v>
      </c>
      <c r="AP132" s="87" t="str">
        <f t="shared" si="99"/>
        <v>0.160000001105207+0.0000304690467667102j</v>
      </c>
      <c r="AQ132" s="87" t="str">
        <f t="shared" si="82"/>
        <v>1+1.96909180959389j</v>
      </c>
      <c r="AR132" s="87">
        <f t="shared" si="83"/>
        <v>9.7165699886981183E-8</v>
      </c>
      <c r="AS132" s="87" t="str">
        <f t="shared" si="84"/>
        <v>0.00010959233799744j</v>
      </c>
      <c r="AT132" s="87" t="str">
        <f t="shared" si="85"/>
        <v>9.71656998869812E-08+0.00010959233799744j</v>
      </c>
      <c r="AU132" s="87" t="str">
        <f t="shared" si="86"/>
        <v>5.39264945170653-2.73263646815141j</v>
      </c>
      <c r="AW132" s="87" t="str">
        <f t="shared" si="100"/>
        <v>0.858450849500169-0.445649993899208j</v>
      </c>
      <c r="AX132" s="87">
        <f t="shared" si="87"/>
        <v>-0.28936813636869713</v>
      </c>
      <c r="AY132" s="87">
        <f t="shared" si="88"/>
        <v>152.56469344169977</v>
      </c>
      <c r="AZ132" s="87" t="str">
        <f t="shared" si="89"/>
        <v>7.70339433801964-4.52353326655789j</v>
      </c>
      <c r="BA132" s="87">
        <f t="shared" si="90"/>
        <v>19.020281294435868</v>
      </c>
      <c r="BB132" s="87">
        <f t="shared" si="91"/>
        <v>149.57799048001729</v>
      </c>
      <c r="BD132" s="87" t="str">
        <f t="shared" si="92"/>
        <v>2.58035600589692-2.95345855267492j</v>
      </c>
      <c r="BE132" s="87">
        <f t="shared" si="93"/>
        <v>11.869889356820016</v>
      </c>
      <c r="BF132" s="87">
        <f t="shared" si="94"/>
        <v>131.14282387625161</v>
      </c>
      <c r="BH132" s="87">
        <f t="shared" si="101"/>
        <v>-10.869889356820016</v>
      </c>
      <c r="BI132" s="107">
        <f t="shared" si="102"/>
        <v>-131.14282387625161</v>
      </c>
      <c r="BJ132" s="91"/>
      <c r="BK132" s="91"/>
      <c r="BL132" s="91"/>
      <c r="BM132" s="91"/>
      <c r="BN132" s="42"/>
      <c r="BO132" s="42"/>
      <c r="BP132" s="42"/>
    </row>
    <row r="133" spans="1:68" s="87" customFormat="1">
      <c r="A133" s="87">
        <v>69</v>
      </c>
      <c r="B133" s="87">
        <f t="shared" si="52"/>
        <v>2398.8329190194918</v>
      </c>
      <c r="C133" s="87" t="str">
        <f t="shared" si="53"/>
        <v>15072.311751162j</v>
      </c>
      <c r="D133" s="87">
        <f t="shared" si="54"/>
        <v>0.999886332851884</v>
      </c>
      <c r="E133" s="87" t="str">
        <f t="shared" si="55"/>
        <v>-0.0167470130568467j</v>
      </c>
      <c r="F133" s="87" t="str">
        <f t="shared" si="56"/>
        <v>0.999886332851884-0.0167470130568467j</v>
      </c>
      <c r="G133" s="87">
        <f t="shared" si="57"/>
        <v>2.3078260403760697E-4</v>
      </c>
      <c r="H133" s="87">
        <f t="shared" si="58"/>
        <v>-0.95955252756994458</v>
      </c>
      <c r="J133" s="87">
        <f t="shared" si="59"/>
        <v>14.187192118226601</v>
      </c>
      <c r="K133" s="87" t="str">
        <f t="shared" si="60"/>
        <v>1+0.754746010939437j</v>
      </c>
      <c r="L133" s="87">
        <f t="shared" si="61"/>
        <v>0.96839442027693912</v>
      </c>
      <c r="M133" s="87" t="str">
        <f t="shared" si="62"/>
        <v>0.0541600877186459j</v>
      </c>
      <c r="N133" s="87" t="str">
        <f t="shared" si="63"/>
        <v>0.968394420276939+0.0541600877186459j</v>
      </c>
      <c r="O133" s="87" t="str">
        <f t="shared" si="64"/>
        <v>1.07287012528757+0.71937555220932j</v>
      </c>
      <c r="P133" s="87" t="str">
        <f t="shared" si="65"/>
        <v>15.2210145853606+10.205919164349j</v>
      </c>
      <c r="R133" s="87">
        <f t="shared" si="66"/>
        <v>23.645320197044338</v>
      </c>
      <c r="S133" s="87" t="str">
        <f t="shared" si="67"/>
        <v>1+0.00113042338133715j</v>
      </c>
      <c r="T133" s="87" t="str">
        <f t="shared" si="68"/>
        <v>0.968394420276939+0.0541600877186459j</v>
      </c>
      <c r="U133" s="87" t="str">
        <f t="shared" si="69"/>
        <v>1.0294822521947-0.056409273492814j</v>
      </c>
      <c r="V133" s="87" t="str">
        <f t="shared" si="70"/>
        <v>24.342437490318-1.33381533382023j</v>
      </c>
      <c r="X133" s="87" t="str">
        <f t="shared" si="71"/>
        <v>1.16929492368189+0.755955720466201j</v>
      </c>
      <c r="Y133" s="87">
        <f t="shared" si="72"/>
        <v>2.875150165892121</v>
      </c>
      <c r="Z133" s="87">
        <f t="shared" si="73"/>
        <v>-147.11710535059311</v>
      </c>
      <c r="AB133" s="87" t="str">
        <f t="shared" si="74"/>
        <v>9.24727515617588-0.50669360470857j</v>
      </c>
      <c r="AC133" s="87">
        <f t="shared" si="75"/>
        <v>19.333295172791974</v>
      </c>
      <c r="AD133" s="87">
        <f t="shared" si="76"/>
        <v>176.86368119090955</v>
      </c>
      <c r="AF133" s="87" t="str">
        <f t="shared" si="77"/>
        <v>3.72861001633147-1.53292096876246j</v>
      </c>
      <c r="AG133" s="87">
        <f t="shared" si="78"/>
        <v>12.109169507356485</v>
      </c>
      <c r="AH133" s="87">
        <f t="shared" si="79"/>
        <v>157.6512611996485</v>
      </c>
      <c r="AJ133" s="87" t="str">
        <f t="shared" si="80"/>
        <v>157499.991124325-37.3887512307395j</v>
      </c>
      <c r="AK133" s="87" t="str">
        <f t="shared" si="81"/>
        <v>30000-0.0000135650805760458j</v>
      </c>
      <c r="AL133" s="87" t="str">
        <f t="shared" si="95"/>
        <v>10000-1474373.84451055j</v>
      </c>
      <c r="AM133" s="87" t="str">
        <f t="shared" si="96"/>
        <v>963.11804700228-457568.801666691j</v>
      </c>
      <c r="AN133" s="87" t="str">
        <f t="shared" si="97"/>
        <v>10963.1180470023-457568.801666691j</v>
      </c>
      <c r="AO133" s="87" t="str">
        <f t="shared" si="98"/>
        <v>29825.3148623595-1951.27892245731j</v>
      </c>
      <c r="AP133" s="87" t="str">
        <f t="shared" si="99"/>
        <v>0.160000001211835+0.0000319050086972702j</v>
      </c>
      <c r="AQ133" s="87" t="str">
        <f t="shared" si="82"/>
        <v>1+2.06189224755896j</v>
      </c>
      <c r="AR133" s="87">
        <f t="shared" si="83"/>
        <v>9.6892251724748722E-8</v>
      </c>
      <c r="AS133" s="87" t="str">
        <f t="shared" si="84"/>
        <v>0.000114757265764762j</v>
      </c>
      <c r="AT133" s="87" t="str">
        <f t="shared" si="85"/>
        <v>9.68922517247487E-08+0.000114757265764762j</v>
      </c>
      <c r="AU133" s="87" t="str">
        <f t="shared" si="86"/>
        <v>5.3924300656326-2.60966060242812j</v>
      </c>
      <c r="AW133" s="87" t="str">
        <f t="shared" si="100"/>
        <v>0.858407920924776-0.426370622804608j</v>
      </c>
      <c r="AX133" s="87">
        <f t="shared" si="87"/>
        <v>-0.36847052588732498</v>
      </c>
      <c r="AY133" s="87">
        <f t="shared" si="88"/>
        <v>153.58644092508396</v>
      </c>
      <c r="AZ133" s="87" t="str">
        <f t="shared" si="89"/>
        <v>7.72189497322157-4.37771627134805j</v>
      </c>
      <c r="BA133" s="87">
        <f t="shared" si="90"/>
        <v>18.964824646904649</v>
      </c>
      <c r="BB133" s="87">
        <f t="shared" si="91"/>
        <v>150.45012211599354</v>
      </c>
      <c r="BD133" s="87" t="str">
        <f t="shared" si="92"/>
        <v>2.5470759038969-2.90564127659612j</v>
      </c>
      <c r="BE133" s="87">
        <f t="shared" si="93"/>
        <v>11.740698981469155</v>
      </c>
      <c r="BF133" s="87">
        <f t="shared" si="94"/>
        <v>131.23770212473255</v>
      </c>
      <c r="BH133" s="87">
        <f t="shared" si="101"/>
        <v>-10.740698981469155</v>
      </c>
      <c r="BI133" s="107">
        <f t="shared" si="102"/>
        <v>-131.23770212473255</v>
      </c>
      <c r="BJ133" s="91"/>
      <c r="BK133" s="91"/>
      <c r="BL133" s="91"/>
      <c r="BM133" s="91"/>
      <c r="BN133" s="42"/>
      <c r="BO133" s="42"/>
      <c r="BP133" s="42"/>
    </row>
    <row r="134" spans="1:68" s="87" customFormat="1">
      <c r="A134" s="87">
        <v>70</v>
      </c>
      <c r="B134" s="87">
        <f t="shared" si="52"/>
        <v>2511.8864315095811</v>
      </c>
      <c r="C134" s="87" t="str">
        <f t="shared" si="53"/>
        <v>15782.6479197648j</v>
      </c>
      <c r="D134" s="87">
        <f t="shared" si="54"/>
        <v>0.99987536645047304</v>
      </c>
      <c r="E134" s="87" t="str">
        <f t="shared" si="55"/>
        <v>-0.0175362754664053j</v>
      </c>
      <c r="F134" s="87" t="str">
        <f t="shared" si="56"/>
        <v>0.999875366450473-0.0175362754664053j</v>
      </c>
      <c r="G134" s="87">
        <f t="shared" si="57"/>
        <v>2.5305338023593962E-4</v>
      </c>
      <c r="H134" s="87">
        <f t="shared" si="58"/>
        <v>-1.0047768004714568</v>
      </c>
      <c r="J134" s="87">
        <f t="shared" si="59"/>
        <v>14.187192118226601</v>
      </c>
      <c r="K134" s="87" t="str">
        <f t="shared" si="60"/>
        <v>1+0.790316094582222j</v>
      </c>
      <c r="L134" s="87">
        <f t="shared" si="61"/>
        <v>0.96534517095719841</v>
      </c>
      <c r="M134" s="87" t="str">
        <f t="shared" si="62"/>
        <v>0.0567125740151351j</v>
      </c>
      <c r="N134" s="87" t="str">
        <f t="shared" si="63"/>
        <v>0.965345170957198+0.0567125740151351j</v>
      </c>
      <c r="O134" s="87" t="str">
        <f t="shared" si="64"/>
        <v>1.08026714210146+0.75522350581272j</v>
      </c>
      <c r="P134" s="87" t="str">
        <f t="shared" si="65"/>
        <v>15.325957484001+10.7145009691657j</v>
      </c>
      <c r="R134" s="87">
        <f t="shared" si="66"/>
        <v>23.645320197044338</v>
      </c>
      <c r="S134" s="87" t="str">
        <f t="shared" si="67"/>
        <v>1+0.00118369859398236j</v>
      </c>
      <c r="T134" s="87" t="str">
        <f t="shared" si="68"/>
        <v>0.965345170957198+0.0567125740151351j</v>
      </c>
      <c r="U134" s="87" t="str">
        <f t="shared" si="69"/>
        <v>1.0324076993052-0.0594262044215505j</v>
      </c>
      <c r="V134" s="87" t="str">
        <f t="shared" si="70"/>
        <v>24.4116106239653-1.40515163164257j</v>
      </c>
      <c r="X134" s="87" t="str">
        <f t="shared" si="71"/>
        <v>1.17854405958074+0.793530149505208j</v>
      </c>
      <c r="Y134" s="87">
        <f t="shared" si="72"/>
        <v>3.0506235966280402</v>
      </c>
      <c r="Z134" s="87">
        <f t="shared" si="73"/>
        <v>-146.04706781081089</v>
      </c>
      <c r="AB134" s="87" t="str">
        <f t="shared" si="74"/>
        <v>9.27355284510929-0.533793042669475j</v>
      </c>
      <c r="AC134" s="87">
        <f t="shared" si="75"/>
        <v>19.359288476536832</v>
      </c>
      <c r="AD134" s="87">
        <f t="shared" si="76"/>
        <v>176.70564470222214</v>
      </c>
      <c r="AF134" s="87" t="str">
        <f t="shared" si="77"/>
        <v>3.67935329881883-1.58521963362461j</v>
      </c>
      <c r="AG134" s="87">
        <f t="shared" si="78"/>
        <v>12.054902431229921</v>
      </c>
      <c r="AH134" s="87">
        <f t="shared" si="79"/>
        <v>156.69159671131368</v>
      </c>
      <c r="AJ134" s="87" t="str">
        <f t="shared" si="80"/>
        <v>157499.990268016-39.1508285768221j</v>
      </c>
      <c r="AK134" s="87" t="str">
        <f t="shared" si="81"/>
        <v>30000-0.0000142043831277883j</v>
      </c>
      <c r="AL134" s="87" t="str">
        <f t="shared" si="95"/>
        <v>10000-1408016.09053149j</v>
      </c>
      <c r="AM134" s="87" t="str">
        <f t="shared" si="96"/>
        <v>963.116013957073-436975.228257655j</v>
      </c>
      <c r="AN134" s="87" t="str">
        <f t="shared" si="97"/>
        <v>10963.1160139571-436975.228257655j</v>
      </c>
      <c r="AO134" s="87" t="str">
        <f t="shared" si="98"/>
        <v>29808.6087361421-2041.67185217751j</v>
      </c>
      <c r="AP134" s="87" t="str">
        <f t="shared" si="99"/>
        <v>0.160000001328751+0.0000334086454280738j</v>
      </c>
      <c r="AQ134" s="87" t="str">
        <f t="shared" si="82"/>
        <v>1+2.15906623542382j</v>
      </c>
      <c r="AR134" s="87">
        <f t="shared" si="83"/>
        <v>9.6592421777085378E-8</v>
      </c>
      <c r="AS134" s="87" t="str">
        <f t="shared" si="84"/>
        <v>0.000120165609078547j</v>
      </c>
      <c r="AT134" s="87" t="str">
        <f t="shared" si="85"/>
        <v>9.65924217770854E-08+0.000120165609078547j</v>
      </c>
      <c r="AU134" s="87" t="str">
        <f t="shared" si="86"/>
        <v>5.39222998306296-2.49222014304775j</v>
      </c>
      <c r="AW134" s="87" t="str">
        <f t="shared" si="100"/>
        <v>0.858367326012006-0.407995620387288j</v>
      </c>
      <c r="AX134" s="87">
        <f t="shared" si="87"/>
        <v>-0.44189677330154153</v>
      </c>
      <c r="AY134" s="87">
        <f t="shared" si="88"/>
        <v>154.57751690253434</v>
      </c>
      <c r="AZ134" s="87" t="str">
        <f t="shared" si="89"/>
        <v>7.74232953468514-4.24175945291467j</v>
      </c>
      <c r="BA134" s="87">
        <f t="shared" si="90"/>
        <v>18.917391703235293</v>
      </c>
      <c r="BB134" s="87">
        <f t="shared" si="91"/>
        <v>151.28316160475651</v>
      </c>
      <c r="BD134" s="87" t="str">
        <f t="shared" si="92"/>
        <v>2.51147398468979-2.86186076983169j</v>
      </c>
      <c r="BE134" s="87">
        <f t="shared" si="93"/>
        <v>11.613005657928374</v>
      </c>
      <c r="BF134" s="87">
        <f t="shared" si="94"/>
        <v>131.26911361384802</v>
      </c>
      <c r="BH134" s="87">
        <f t="shared" si="101"/>
        <v>-10.613005657928374</v>
      </c>
      <c r="BI134" s="107">
        <f t="shared" si="102"/>
        <v>-131.26911361384802</v>
      </c>
      <c r="BJ134" s="91"/>
      <c r="BK134" s="91"/>
      <c r="BL134" s="91"/>
      <c r="BM134" s="91"/>
      <c r="BN134" s="42"/>
      <c r="BO134" s="42"/>
      <c r="BP134" s="42"/>
    </row>
    <row r="135" spans="1:68" s="87" customFormat="1">
      <c r="A135" s="87">
        <v>71</v>
      </c>
      <c r="B135" s="87">
        <f t="shared" si="52"/>
        <v>2630.2679918953822</v>
      </c>
      <c r="C135" s="87" t="str">
        <f t="shared" si="53"/>
        <v>16526.4612006218j</v>
      </c>
      <c r="D135" s="87">
        <f t="shared" si="54"/>
        <v>0.99986334203043581</v>
      </c>
      <c r="E135" s="87" t="str">
        <f t="shared" si="55"/>
        <v>-0.0183627346673576j</v>
      </c>
      <c r="F135" s="87" t="str">
        <f t="shared" si="56"/>
        <v>0.999863342030436-0.0183627346673576j</v>
      </c>
      <c r="G135" s="87">
        <f t="shared" si="57"/>
        <v>2.7747387002359563E-4</v>
      </c>
      <c r="H135" s="87">
        <f t="shared" si="58"/>
        <v>-1.0521327173330204</v>
      </c>
      <c r="J135" s="87">
        <f t="shared" si="59"/>
        <v>14.187192118226601</v>
      </c>
      <c r="K135" s="87" t="str">
        <f t="shared" si="60"/>
        <v>1+0.827562544621137j</v>
      </c>
      <c r="L135" s="87">
        <f t="shared" si="61"/>
        <v>0.96200173556349877</v>
      </c>
      <c r="M135" s="87" t="str">
        <f t="shared" si="62"/>
        <v>0.0593853552846974j</v>
      </c>
      <c r="N135" s="87" t="str">
        <f t="shared" si="63"/>
        <v>0.962001735563499+0.0593853552846974j</v>
      </c>
      <c r="O135" s="87" t="str">
        <f t="shared" si="64"/>
        <v>1.08845551674846+0.793059096302516j</v>
      </c>
      <c r="P135" s="87" t="str">
        <f t="shared" si="65"/>
        <v>15.442127528254+11.251281760351j</v>
      </c>
      <c r="R135" s="87">
        <f t="shared" si="66"/>
        <v>23.645320197044338</v>
      </c>
      <c r="S135" s="87" t="str">
        <f t="shared" si="67"/>
        <v>1+0.00123948459004663j</v>
      </c>
      <c r="T135" s="87" t="str">
        <f t="shared" si="68"/>
        <v>0.962001735563499+0.0593853552846974j</v>
      </c>
      <c r="U135" s="87" t="str">
        <f t="shared" si="69"/>
        <v>1.03563219700934-0.0626421961061493j</v>
      </c>
      <c r="V135" s="87" t="str">
        <f t="shared" si="70"/>
        <v>24.4878549046543-1.48119478477594j</v>
      </c>
      <c r="X135" s="87" t="str">
        <f t="shared" si="71"/>
        <v>1.1887767172317+0.833173140168449j</v>
      </c>
      <c r="Y135" s="87">
        <f t="shared" si="72"/>
        <v>3.2374029142148348</v>
      </c>
      <c r="Z135" s="87">
        <f t="shared" si="73"/>
        <v>-144.97469395408672</v>
      </c>
      <c r="AB135" s="87" t="str">
        <f t="shared" si="74"/>
        <v>9.30251674171563-0.562680534361594j</v>
      </c>
      <c r="AC135" s="87">
        <f t="shared" si="75"/>
        <v>19.387869597685132</v>
      </c>
      <c r="AD135" s="87">
        <f t="shared" si="76"/>
        <v>176.53857237877401</v>
      </c>
      <c r="AF135" s="87" t="str">
        <f t="shared" si="77"/>
        <v>3.62672894475569-1.63761504295281j</v>
      </c>
      <c r="AG135" s="87">
        <f t="shared" si="78"/>
        <v>11.996165830582301</v>
      </c>
      <c r="AH135" s="87">
        <f t="shared" si="79"/>
        <v>155.69889592352109</v>
      </c>
      <c r="AJ135" s="87" t="str">
        <f t="shared" si="80"/>
        <v>157499.989329092-40.9959500382429j</v>
      </c>
      <c r="AK135" s="87" t="str">
        <f t="shared" si="81"/>
        <v>30000-0.0000148738150805596j</v>
      </c>
      <c r="AL135" s="87" t="str">
        <f t="shared" si="95"/>
        <v>10000-1344644.92745647j</v>
      </c>
      <c r="AM135" s="87" t="str">
        <f t="shared" si="96"/>
        <v>963.11378477719-417308.537892123j</v>
      </c>
      <c r="AN135" s="87" t="str">
        <f t="shared" si="97"/>
        <v>10963.1137847772-417308.537892123j</v>
      </c>
      <c r="AO135" s="87" t="str">
        <f t="shared" si="98"/>
        <v>29790.3203175948-2136.09546066108j</v>
      </c>
      <c r="AP135" s="87" t="str">
        <f t="shared" si="99"/>
        <v>0.160000001456946+0.000034983146374107j</v>
      </c>
      <c r="AQ135" s="87" t="str">
        <f t="shared" si="82"/>
        <v>1+2.26081989224506j</v>
      </c>
      <c r="AR135" s="87">
        <f t="shared" si="83"/>
        <v>9.62636647769218E-8</v>
      </c>
      <c r="AS135" s="87" t="str">
        <f t="shared" si="84"/>
        <v>0.00012582883976007j</v>
      </c>
      <c r="AT135" s="87" t="str">
        <f t="shared" si="85"/>
        <v>9.62636647769218E-08+0.00012582883976007j</v>
      </c>
      <c r="AU135" s="87" t="str">
        <f t="shared" si="86"/>
        <v>5.39204750549706-2.3800659873962j</v>
      </c>
      <c r="AW135" s="87" t="str">
        <f t="shared" si="100"/>
        <v>0.85832872019778-0.390486009248975j</v>
      </c>
      <c r="AX135" s="87">
        <f t="shared" si="87"/>
        <v>-0.50996875420903442</v>
      </c>
      <c r="AY135" s="87">
        <f t="shared" si="88"/>
        <v>155.53742692896657</v>
      </c>
      <c r="AZ135" s="87" t="str">
        <f t="shared" si="89"/>
        <v>7.76489841319026-4.1154675013831j</v>
      </c>
      <c r="BA135" s="87">
        <f t="shared" si="90"/>
        <v>18.877900843476095</v>
      </c>
      <c r="BB135" s="87">
        <f t="shared" si="91"/>
        <v>152.0759993077406</v>
      </c>
      <c r="BD135" s="87" t="str">
        <f t="shared" si="92"/>
        <v>2.47345985084767-2.82179893625971j</v>
      </c>
      <c r="BE135" s="87">
        <f t="shared" si="93"/>
        <v>11.486197076373269</v>
      </c>
      <c r="BF135" s="87">
        <f t="shared" si="94"/>
        <v>131.23632285248775</v>
      </c>
      <c r="BH135" s="87">
        <f t="shared" si="101"/>
        <v>-10.486197076373269</v>
      </c>
      <c r="BI135" s="107">
        <f t="shared" si="102"/>
        <v>-131.23632285248775</v>
      </c>
      <c r="BJ135" s="91"/>
      <c r="BK135" s="91"/>
      <c r="BL135" s="91"/>
      <c r="BM135" s="91"/>
      <c r="BN135" s="42"/>
      <c r="BO135" s="42"/>
      <c r="BP135" s="42"/>
    </row>
    <row r="136" spans="1:68" s="87" customFormat="1">
      <c r="A136" s="87">
        <v>72</v>
      </c>
      <c r="B136" s="87">
        <f t="shared" si="52"/>
        <v>2754.2287033381667</v>
      </c>
      <c r="C136" s="87" t="str">
        <f t="shared" si="53"/>
        <v>17305.3293214267j</v>
      </c>
      <c r="D136" s="87">
        <f t="shared" si="54"/>
        <v>0.99985015751604367</v>
      </c>
      <c r="E136" s="87" t="str">
        <f t="shared" si="55"/>
        <v>-0.0192281436904741j</v>
      </c>
      <c r="F136" s="87" t="str">
        <f t="shared" si="56"/>
        <v>0.999850157516044-0.0192281436904741j</v>
      </c>
      <c r="G136" s="87">
        <f t="shared" si="57"/>
        <v>3.04251690135546E-4</v>
      </c>
      <c r="H136" s="87">
        <f t="shared" si="58"/>
        <v>-1.1017207823320663</v>
      </c>
      <c r="J136" s="87">
        <f t="shared" si="59"/>
        <v>14.187192118226601</v>
      </c>
      <c r="K136" s="87" t="str">
        <f t="shared" si="60"/>
        <v>1+0.866564365770442j</v>
      </c>
      <c r="L136" s="87">
        <f t="shared" si="61"/>
        <v>0.95833573155409302</v>
      </c>
      <c r="M136" s="87" t="str">
        <f t="shared" si="62"/>
        <v>0.0621841008547522j</v>
      </c>
      <c r="N136" s="87" t="str">
        <f t="shared" si="63"/>
        <v>0.958335731554093+0.0621841008547522j</v>
      </c>
      <c r="O136" s="87" t="str">
        <f t="shared" si="64"/>
        <v>1.0975284976133+0.833022829785651j</v>
      </c>
      <c r="P136" s="87" t="str">
        <f t="shared" si="65"/>
        <v>15.5708476508685+11.8182549250378j</v>
      </c>
      <c r="R136" s="87">
        <f t="shared" si="66"/>
        <v>23.645320197044338</v>
      </c>
      <c r="S136" s="87" t="str">
        <f t="shared" si="67"/>
        <v>1+0.001297899699107j</v>
      </c>
      <c r="T136" s="87" t="str">
        <f t="shared" si="68"/>
        <v>0.958335731554093+0.0621841008547522j</v>
      </c>
      <c r="U136" s="87" t="str">
        <f t="shared" si="69"/>
        <v>1.03918813089036-0.0660760918687154j</v>
      </c>
      <c r="V136" s="87" t="str">
        <f t="shared" si="70"/>
        <v>24.5719360998706-1.56239034960509j</v>
      </c>
      <c r="X136" s="87" t="str">
        <f t="shared" si="71"/>
        <v>1.20010756279363+0.875028715938266j</v>
      </c>
      <c r="Y136" s="87">
        <f t="shared" si="72"/>
        <v>3.4359239953477543</v>
      </c>
      <c r="Z136" s="87">
        <f t="shared" si="73"/>
        <v>-143.9032656756938</v>
      </c>
      <c r="AB136" s="87" t="str">
        <f t="shared" si="74"/>
        <v>9.33445774794948-0.593525339025667j</v>
      </c>
      <c r="AC136" s="87">
        <f t="shared" si="75"/>
        <v>19.419304874364386</v>
      </c>
      <c r="AD136" s="87">
        <f t="shared" si="76"/>
        <v>176.36178344099869</v>
      </c>
      <c r="AF136" s="87" t="str">
        <f t="shared" si="77"/>
        <v>3.57062593366841-1.6898835437566j</v>
      </c>
      <c r="AG136" s="87">
        <f t="shared" si="78"/>
        <v>11.93265886710506</v>
      </c>
      <c r="AH136" s="87">
        <f t="shared" si="79"/>
        <v>154.67303472747227</v>
      </c>
      <c r="AJ136" s="87" t="str">
        <f t="shared" si="80"/>
        <v>157499.988299582-42.9280293589107j</v>
      </c>
      <c r="AK136" s="87" t="str">
        <f t="shared" si="81"/>
        <v>30000-0.000015574796389284j</v>
      </c>
      <c r="AL136" s="87" t="str">
        <f t="shared" si="95"/>
        <v>10000-1284125.93655225j</v>
      </c>
      <c r="AM136" s="87" t="str">
        <f t="shared" si="96"/>
        <v>963.111340541923-398527.014882778j</v>
      </c>
      <c r="AN136" s="87" t="str">
        <f t="shared" si="97"/>
        <v>10963.1113405419-398527.014882778j</v>
      </c>
      <c r="AO136" s="87" t="str">
        <f t="shared" si="98"/>
        <v>29770.3028239903-2234.70646133897j</v>
      </c>
      <c r="AP136" s="87" t="str">
        <f t="shared" si="99"/>
        <v>0.16000000159751+0.0000366318512628411j</v>
      </c>
      <c r="AQ136" s="87" t="str">
        <f t="shared" si="82"/>
        <v>1+2.36736905117117j</v>
      </c>
      <c r="AR136" s="87">
        <f t="shared" si="83"/>
        <v>9.5903189894412932E-8</v>
      </c>
      <c r="AS136" s="87" t="str">
        <f t="shared" si="84"/>
        <v>0.000131758970280892j</v>
      </c>
      <c r="AT136" s="87" t="str">
        <f t="shared" si="85"/>
        <v>9.59031898944129E-08+0.000131758970280892j</v>
      </c>
      <c r="AU136" s="87" t="str">
        <f t="shared" si="86"/>
        <v>5.39188108388247-2.27296024525744j</v>
      </c>
      <c r="AW136" s="87" t="str">
        <f t="shared" si="100"/>
        <v>0.858291775812717-0.373804647179391j</v>
      </c>
      <c r="AX136" s="87">
        <f t="shared" si="87"/>
        <v>-0.57300264101138976</v>
      </c>
      <c r="AY136" s="87">
        <f t="shared" si="88"/>
        <v>156.46583212905099</v>
      </c>
      <c r="AZ136" s="87" t="str">
        <f t="shared" si="89"/>
        <v>7.78982578678981-3.99868160230537j</v>
      </c>
      <c r="BA136" s="87">
        <f t="shared" si="90"/>
        <v>18.84630223335299</v>
      </c>
      <c r="BB136" s="87">
        <f t="shared" si="91"/>
        <v>152.82761557004969</v>
      </c>
      <c r="BD136" s="87" t="str">
        <f t="shared" si="92"/>
        <v>2.432952551523-2.78512971503204j</v>
      </c>
      <c r="BE136" s="87">
        <f t="shared" si="93"/>
        <v>11.359656226093655</v>
      </c>
      <c r="BF136" s="87">
        <f t="shared" si="94"/>
        <v>131.13886685652324</v>
      </c>
      <c r="BH136" s="87">
        <f t="shared" si="101"/>
        <v>-10.359656226093655</v>
      </c>
      <c r="BI136" s="107">
        <f t="shared" si="102"/>
        <v>-131.13886685652324</v>
      </c>
      <c r="BJ136" s="91"/>
      <c r="BK136" s="91"/>
      <c r="BL136" s="91"/>
      <c r="BM136" s="91"/>
      <c r="BN136" s="42"/>
      <c r="BO136" s="42"/>
      <c r="BP136" s="42"/>
    </row>
    <row r="137" spans="1:68" s="87" customFormat="1">
      <c r="A137" s="87">
        <v>73</v>
      </c>
      <c r="B137" s="87">
        <f t="shared" si="52"/>
        <v>2884.0315031266064</v>
      </c>
      <c r="C137" s="87" t="str">
        <f t="shared" si="53"/>
        <v>18120.904365888j</v>
      </c>
      <c r="D137" s="87">
        <f t="shared" si="54"/>
        <v>0.99983570098348584</v>
      </c>
      <c r="E137" s="87" t="str">
        <f t="shared" si="55"/>
        <v>-0.02013433818432j</v>
      </c>
      <c r="F137" s="87" t="str">
        <f t="shared" si="56"/>
        <v>0.999835700983486-0.02013433818432j</v>
      </c>
      <c r="G137" s="87">
        <f t="shared" si="57"/>
        <v>3.3361453154057656E-4</v>
      </c>
      <c r="H137" s="87">
        <f t="shared" si="58"/>
        <v>-1.1536462426117944</v>
      </c>
      <c r="J137" s="87">
        <f t="shared" si="59"/>
        <v>14.187192118226601</v>
      </c>
      <c r="K137" s="87" t="str">
        <f t="shared" si="60"/>
        <v>1+0.907404286121842j</v>
      </c>
      <c r="L137" s="87">
        <f t="shared" si="61"/>
        <v>0.95431603809080756</v>
      </c>
      <c r="M137" s="87" t="str">
        <f t="shared" si="62"/>
        <v>0.0651147472398867j</v>
      </c>
      <c r="N137" s="87" t="str">
        <f t="shared" si="63"/>
        <v>0.954316038090808+0.0651147472398867j</v>
      </c>
      <c r="O137" s="87" t="str">
        <f t="shared" si="64"/>
        <v>1.10759214854402+0.875269480952633j</v>
      </c>
      <c r="P137" s="87" t="str">
        <f t="shared" si="65"/>
        <v>15.7136226000334+12.4176162814955j</v>
      </c>
      <c r="R137" s="87">
        <f t="shared" si="66"/>
        <v>23.645320197044338</v>
      </c>
      <c r="S137" s="87" t="str">
        <f t="shared" si="67"/>
        <v>1+0.0013590678274416j</v>
      </c>
      <c r="T137" s="87" t="str">
        <f t="shared" si="68"/>
        <v>0.954316038090808+0.0651147472398867j</v>
      </c>
      <c r="U137" s="87" t="str">
        <f t="shared" si="69"/>
        <v>1.0431117692189-0.0697493164857243j</v>
      </c>
      <c r="V137" s="87" t="str">
        <f t="shared" si="70"/>
        <v>24.6647117844863-1.64924492182993j</v>
      </c>
      <c r="X137" s="87" t="str">
        <f t="shared" si="71"/>
        <v>1.21266677730223+0.919255222459896j</v>
      </c>
      <c r="Y137" s="87">
        <f t="shared" si="72"/>
        <v>3.646618298192188</v>
      </c>
      <c r="Z137" s="87">
        <f t="shared" si="73"/>
        <v>-142.83625817518191</v>
      </c>
      <c r="AB137" s="87" t="str">
        <f t="shared" si="74"/>
        <v>9.3697016418194-0.62651990369301j</v>
      </c>
      <c r="AC137" s="87">
        <f t="shared" si="75"/>
        <v>19.453889869553052</v>
      </c>
      <c r="AD137" s="87">
        <f t="shared" si="76"/>
        <v>176.17452181351391</v>
      </c>
      <c r="AF137" s="87" t="str">
        <f t="shared" si="77"/>
        <v>3.51094951405568-1.74177992810135j</v>
      </c>
      <c r="AG137" s="87">
        <f t="shared" si="78"/>
        <v>11.864071567299717</v>
      </c>
      <c r="AH137" s="87">
        <f t="shared" si="79"/>
        <v>153.61401821781175</v>
      </c>
      <c r="AJ137" s="87" t="str">
        <f t="shared" si="80"/>
        <v>157499.987170747-44.9511647311076j</v>
      </c>
      <c r="AK137" s="87" t="str">
        <f t="shared" si="81"/>
        <v>30000-0.0000163088139292992j</v>
      </c>
      <c r="AL137" s="87" t="str">
        <f t="shared" si="95"/>
        <v>10000-1226330.74892525j</v>
      </c>
      <c r="AM137" s="87" t="str">
        <f t="shared" si="96"/>
        <v>963.108660505494-380590.821100917j</v>
      </c>
      <c r="AN137" s="87" t="str">
        <f t="shared" si="97"/>
        <v>10963.1086605055-380590.821100917j</v>
      </c>
      <c r="AO137" s="87" t="str">
        <f t="shared" si="98"/>
        <v>29748.3964712362-2337.6642161447j</v>
      </c>
      <c r="AP137" s="87" t="str">
        <f t="shared" si="99"/>
        <v>0.160000001751635+0.0000383582572182366j</v>
      </c>
      <c r="AQ137" s="87" t="str">
        <f t="shared" si="82"/>
        <v>1+2.47893971725348j</v>
      </c>
      <c r="AR137" s="87">
        <f t="shared" si="83"/>
        <v>9.5507937045484816E-8</v>
      </c>
      <c r="AS137" s="87" t="str">
        <f t="shared" si="84"/>
        <v>0.000137968579242911j</v>
      </c>
      <c r="AT137" s="87" t="str">
        <f t="shared" si="85"/>
        <v>9.55079370454848E-08+0.000137968579242911j</v>
      </c>
      <c r="AU137" s="87" t="str">
        <f t="shared" si="86"/>
        <v>5.39172930546534-2.17067573428908j</v>
      </c>
      <c r="AW137" s="87" t="str">
        <f t="shared" si="100"/>
        <v>0.858256179302475-0.357916148334923j</v>
      </c>
      <c r="AX137" s="87">
        <f t="shared" si="87"/>
        <v>-0.63130704589347209</v>
      </c>
      <c r="AY137" s="87">
        <f t="shared" si="88"/>
        <v>157.362537349821</v>
      </c>
      <c r="AZ137" s="87" t="str">
        <f t="shared" si="89"/>
        <v>7.81736274152708-3.89128210148792j</v>
      </c>
      <c r="BA137" s="87">
        <f t="shared" si="90"/>
        <v>18.822582823659584</v>
      </c>
      <c r="BB137" s="87">
        <f t="shared" si="91"/>
        <v>153.53705916333493</v>
      </c>
      <c r="BD137" s="87" t="str">
        <f t="shared" si="92"/>
        <v>2.3898829525442-2.75151891334718j</v>
      </c>
      <c r="BE137" s="87">
        <f t="shared" si="93"/>
        <v>11.232764521406249</v>
      </c>
      <c r="BF137" s="87">
        <f t="shared" si="94"/>
        <v>130.97655556763283</v>
      </c>
      <c r="BH137" s="87">
        <f t="shared" si="101"/>
        <v>-10.232764521406249</v>
      </c>
      <c r="BI137" s="107">
        <f t="shared" si="102"/>
        <v>-130.97655556763283</v>
      </c>
      <c r="BJ137" s="91"/>
      <c r="BK137" s="91"/>
      <c r="BL137" s="91"/>
      <c r="BM137" s="91"/>
      <c r="BN137" s="42"/>
      <c r="BO137" s="42"/>
      <c r="BP137" s="42"/>
    </row>
    <row r="138" spans="1:68" s="87" customFormat="1">
      <c r="A138" s="87">
        <v>74</v>
      </c>
      <c r="B138" s="87">
        <f t="shared" si="52"/>
        <v>3019.9517204020162</v>
      </c>
      <c r="C138" s="87" t="str">
        <f t="shared" si="53"/>
        <v>18974.9162780217j</v>
      </c>
      <c r="D138" s="87">
        <f t="shared" si="54"/>
        <v>0.99981984971074456</v>
      </c>
      <c r="E138" s="87" t="str">
        <f t="shared" si="55"/>
        <v>-0.021083240308913j</v>
      </c>
      <c r="F138" s="87" t="str">
        <f t="shared" si="56"/>
        <v>0.999819849710745-0.021083240308913j</v>
      </c>
      <c r="G138" s="87">
        <f t="shared" si="57"/>
        <v>3.6581210499661196E-4</v>
      </c>
      <c r="H138" s="87">
        <f t="shared" si="58"/>
        <v>-1.2080193127498191</v>
      </c>
      <c r="J138" s="87">
        <f t="shared" si="59"/>
        <v>14.187192118226601</v>
      </c>
      <c r="K138" s="87" t="str">
        <f t="shared" si="60"/>
        <v>1+0.950168932621937j</v>
      </c>
      <c r="L138" s="87">
        <f t="shared" si="61"/>
        <v>0.94990853185313362</v>
      </c>
      <c r="M138" s="87" t="str">
        <f t="shared" si="62"/>
        <v>0.0681835107340046j</v>
      </c>
      <c r="N138" s="87" t="str">
        <f t="shared" si="63"/>
        <v>0.949908531853134+0.0681835107340046j</v>
      </c>
      <c r="O138" s="87" t="str">
        <f t="shared" si="64"/>
        <v>1.11876749690161+0.919970089418255j</v>
      </c>
      <c r="P138" s="87" t="str">
        <f t="shared" si="65"/>
        <v>15.8721694141706+13.0517924015989j</v>
      </c>
      <c r="R138" s="87">
        <f t="shared" si="66"/>
        <v>23.645320197044338</v>
      </c>
      <c r="S138" s="87" t="str">
        <f t="shared" si="67"/>
        <v>1+0.00142311872085163j</v>
      </c>
      <c r="T138" s="87" t="str">
        <f t="shared" si="68"/>
        <v>0.949908531853134+0.0681835107340046j</v>
      </c>
      <c r="U138" s="87" t="str">
        <f t="shared" si="69"/>
        <v>1.0474438050619-0.0736863338497467j</v>
      </c>
      <c r="V138" s="87" t="str">
        <f t="shared" si="70"/>
        <v>24.7671441590991-1.74233695802357j</v>
      </c>
      <c r="X138" s="87" t="str">
        <f t="shared" si="71"/>
        <v>1.22660261048508+0.966027288585705j</v>
      </c>
      <c r="Y138" s="87">
        <f t="shared" si="72"/>
        <v>3.8699142522453638</v>
      </c>
      <c r="Z138" s="87">
        <f t="shared" si="73"/>
        <v>-141.7773268879489</v>
      </c>
      <c r="AB138" s="87" t="str">
        <f t="shared" si="74"/>
        <v>9.40861394685548-0.661883974110102j</v>
      </c>
      <c r="AC138" s="87">
        <f t="shared" si="75"/>
        <v>19.491952956065703</v>
      </c>
      <c r="AD138" s="87">
        <f t="shared" si="76"/>
        <v>175.97594462694295</v>
      </c>
      <c r="AF138" s="87" t="str">
        <f t="shared" si="77"/>
        <v>3.44762468813325-1.79303818510248j</v>
      </c>
      <c r="AG138" s="87">
        <f t="shared" si="78"/>
        <v>11.790086388043088</v>
      </c>
      <c r="AH138" s="87">
        <f t="shared" si="79"/>
        <v>152.52199265937918</v>
      </c>
      <c r="AJ138" s="87" t="str">
        <f t="shared" si="80"/>
        <v>157499.985933004-47.0696474881764j</v>
      </c>
      <c r="AK138" s="87" t="str">
        <f t="shared" si="81"/>
        <v>30000-0.0000170774246502195j</v>
      </c>
      <c r="AL138" s="87" t="str">
        <f t="shared" si="95"/>
        <v>10000-1171136.77323371j</v>
      </c>
      <c r="AM138" s="87" t="str">
        <f t="shared" si="96"/>
        <v>963.105721921139-363461.911474393j</v>
      </c>
      <c r="AN138" s="87" t="str">
        <f t="shared" si="97"/>
        <v>10963.1057219211-363461.911474393j</v>
      </c>
      <c r="AO138" s="87" t="str">
        <f t="shared" si="98"/>
        <v>29724.4274453785-2445.13020599913j</v>
      </c>
      <c r="AP138" s="87" t="str">
        <f t="shared" si="99"/>
        <v>0.160000001920629+0.0000401660261786146j</v>
      </c>
      <c r="AQ138" s="87" t="str">
        <f t="shared" si="82"/>
        <v>1+2.59576854683337j</v>
      </c>
      <c r="AR138" s="87">
        <f t="shared" si="83"/>
        <v>9.5074550914671471E-8</v>
      </c>
      <c r="AS138" s="87" t="str">
        <f t="shared" si="84"/>
        <v>0.000144470838059276j</v>
      </c>
      <c r="AT138" s="87" t="str">
        <f t="shared" si="85"/>
        <v>9.50745509146715E-08+0.000144470838059276j</v>
      </c>
      <c r="AU138" s="87" t="str">
        <f t="shared" si="86"/>
        <v>5.3915908817976-2.07299549820095j</v>
      </c>
      <c r="AW138" s="87" t="str">
        <f t="shared" si="100"/>
        <v>0.858221628568299-0.342786808133924j</v>
      </c>
      <c r="AX138" s="87">
        <f t="shared" si="87"/>
        <v>-0.68518147370868321</v>
      </c>
      <c r="AY138" s="87">
        <f t="shared" si="88"/>
        <v>158.22747873841701</v>
      </c>
      <c r="AZ138" s="87" t="str">
        <f t="shared" si="89"/>
        <v>7.84779088920052-3.79319188599094j</v>
      </c>
      <c r="BA138" s="87">
        <f t="shared" si="90"/>
        <v>18.806771482357014</v>
      </c>
      <c r="BB138" s="87">
        <f t="shared" si="91"/>
        <v>154.20342336535995</v>
      </c>
      <c r="BD138" s="87" t="str">
        <f t="shared" si="92"/>
        <v>2.34419623820847-2.7206244137927j</v>
      </c>
      <c r="BE138" s="87">
        <f t="shared" si="93"/>
        <v>11.104904914334391</v>
      </c>
      <c r="BF138" s="87">
        <f t="shared" si="94"/>
        <v>130.7494713977963</v>
      </c>
      <c r="BH138" s="87">
        <f t="shared" si="101"/>
        <v>-10.104904914334391</v>
      </c>
      <c r="BI138" s="107">
        <f t="shared" si="102"/>
        <v>-130.7494713977963</v>
      </c>
      <c r="BJ138" s="91"/>
      <c r="BK138" s="91"/>
      <c r="BL138" s="91"/>
      <c r="BM138" s="91"/>
      <c r="BN138" s="42"/>
      <c r="BO138" s="42"/>
      <c r="BP138" s="42"/>
    </row>
    <row r="139" spans="1:68" s="87" customFormat="1">
      <c r="A139" s="87">
        <v>75</v>
      </c>
      <c r="B139" s="87">
        <f t="shared" si="52"/>
        <v>3162.2776601683804</v>
      </c>
      <c r="C139" s="87" t="str">
        <f t="shared" si="53"/>
        <v>19869.1765315922j</v>
      </c>
      <c r="D139" s="87">
        <f t="shared" si="54"/>
        <v>0.99980246913580251</v>
      </c>
      <c r="E139" s="87" t="str">
        <f t="shared" si="55"/>
        <v>-0.0220768628128802j</v>
      </c>
      <c r="F139" s="87" t="str">
        <f t="shared" si="56"/>
        <v>0.999802469135803-0.0220768628128802j</v>
      </c>
      <c r="G139" s="87">
        <f t="shared" si="57"/>
        <v>4.0111827610114846E-4</v>
      </c>
      <c r="H139" s="87">
        <f t="shared" si="58"/>
        <v>-1.2649554099443634</v>
      </c>
      <c r="J139" s="87">
        <f t="shared" si="59"/>
        <v>14.187192118226601</v>
      </c>
      <c r="K139" s="87" t="str">
        <f t="shared" si="60"/>
        <v>1+0.994949014819479j</v>
      </c>
      <c r="L139" s="87">
        <f t="shared" si="61"/>
        <v>0.94507579736416047</v>
      </c>
      <c r="M139" s="87" t="str">
        <f t="shared" si="62"/>
        <v>0.071396900595911j</v>
      </c>
      <c r="N139" s="87" t="str">
        <f t="shared" si="63"/>
        <v>0.94507579736416+0.071396900595911j</v>
      </c>
      <c r="O139" s="87" t="str">
        <f t="shared" si="64"/>
        <v>1.1311931231218+0.96731429839052j</v>
      </c>
      <c r="P139" s="87" t="str">
        <f t="shared" si="65"/>
        <v>16.0484541605457+13.7234737899739j</v>
      </c>
      <c r="R139" s="87">
        <f t="shared" si="66"/>
        <v>23.645320197044338</v>
      </c>
      <c r="S139" s="87" t="str">
        <f t="shared" si="67"/>
        <v>1+0.00149018823986941j</v>
      </c>
      <c r="T139" s="87" t="str">
        <f t="shared" si="68"/>
        <v>0.94507579736416+0.071396900595911j</v>
      </c>
      <c r="U139" s="87" t="str">
        <f t="shared" si="69"/>
        <v>1.0522299892113-0.0779152020496749j</v>
      </c>
      <c r="V139" s="87" t="str">
        <f t="shared" si="70"/>
        <v>24.8803150158337-1.84232990068197j</v>
      </c>
      <c r="X139" s="87" t="str">
        <f t="shared" si="71"/>
        <v>1.24208445063713+1.01553811547344j</v>
      </c>
      <c r="Y139" s="87">
        <f t="shared" si="72"/>
        <v>4.1062397147366267</v>
      </c>
      <c r="Z139" s="87">
        <f t="shared" si="73"/>
        <v>-140.73029442211075</v>
      </c>
      <c r="AB139" s="87" t="str">
        <f t="shared" si="74"/>
        <v>9.451605617361-0.699869580720193j</v>
      </c>
      <c r="AC139" s="87">
        <f t="shared" si="75"/>
        <v>19.533859419358208</v>
      </c>
      <c r="AD139" s="87">
        <f t="shared" si="76"/>
        <v>175.76510854228741</v>
      </c>
      <c r="AF139" s="87" t="str">
        <f t="shared" si="77"/>
        <v>3.38059980547103-1.8433728199505j</v>
      </c>
      <c r="AG139" s="87">
        <f t="shared" si="78"/>
        <v>11.71038009160581</v>
      </c>
      <c r="AH139" s="87">
        <f t="shared" si="79"/>
        <v>151.39725684604332</v>
      </c>
      <c r="AJ139" s="87" t="str">
        <f t="shared" si="80"/>
        <v>157499.984575845-49.2879712068532j</v>
      </c>
      <c r="AK139" s="87" t="str">
        <f t="shared" si="81"/>
        <v>30000-0.000017882258878433j</v>
      </c>
      <c r="AL139" s="87" t="str">
        <f t="shared" si="95"/>
        <v>10000-1118426.93565527j</v>
      </c>
      <c r="AM139" s="87" t="str">
        <f t="shared" si="96"/>
        <v>963.102499848066-347103.953288955j</v>
      </c>
      <c r="AN139" s="87" t="str">
        <f t="shared" si="97"/>
        <v>10963.1024998481-347103.953288955j</v>
      </c>
      <c r="AO139" s="87" t="str">
        <f t="shared" si="98"/>
        <v>29698.2068178475-2557.26739121311j</v>
      </c>
      <c r="AP139" s="87" t="str">
        <f t="shared" si="99"/>
        <v>0.160000002105929+0.0000420589926641092j</v>
      </c>
      <c r="AQ139" s="87" t="str">
        <f t="shared" si="82"/>
        <v>1+2.71810334952181j</v>
      </c>
      <c r="AR139" s="87">
        <f t="shared" si="83"/>
        <v>9.4599352471723903E-8</v>
      </c>
      <c r="AS139" s="87" t="str">
        <f t="shared" si="84"/>
        <v>0.000151279538892706j</v>
      </c>
      <c r="AT139" s="87" t="str">
        <f t="shared" si="85"/>
        <v>9.45993524717239E-08+0.000151279538892706j</v>
      </c>
      <c r="AU139" s="87" t="str">
        <f t="shared" si="86"/>
        <v>5.39146463779932-1.97971234661682j</v>
      </c>
      <c r="AW139" s="87" t="str">
        <f t="shared" si="100"/>
        <v>0.858187830405238-0.328384531708587j</v>
      </c>
      <c r="AX139" s="87">
        <f t="shared" si="87"/>
        <v>-0.73491507143996437</v>
      </c>
      <c r="AY139" s="87">
        <f t="shared" si="88"/>
        <v>159.06071104943538</v>
      </c>
      <c r="AZ139" s="87" t="str">
        <f t="shared" si="89"/>
        <v>7.88142657408711-3.70438064159623j</v>
      </c>
      <c r="BA139" s="87">
        <f t="shared" si="90"/>
        <v>18.798944347918241</v>
      </c>
      <c r="BB139" s="87">
        <f t="shared" si="91"/>
        <v>154.82581959172279</v>
      </c>
      <c r="BD139" s="87" t="str">
        <f t="shared" si="92"/>
        <v>2.29585449228177-2.69209680499505j</v>
      </c>
      <c r="BE139" s="87">
        <f t="shared" si="93"/>
        <v>10.975465020165842</v>
      </c>
      <c r="BF139" s="87">
        <f t="shared" si="94"/>
        <v>130.4579678954787</v>
      </c>
      <c r="BH139" s="87">
        <f t="shared" si="101"/>
        <v>-9.9754650201658421</v>
      </c>
      <c r="BI139" s="107">
        <f t="shared" si="102"/>
        <v>-130.4579678954787</v>
      </c>
      <c r="BJ139" s="91"/>
      <c r="BK139" s="91"/>
      <c r="BL139" s="91"/>
      <c r="BM139" s="91"/>
      <c r="BN139" s="42"/>
      <c r="BO139" s="42"/>
      <c r="BP139" s="42"/>
    </row>
    <row r="140" spans="1:68" s="87" customFormat="1">
      <c r="A140" s="87">
        <v>76</v>
      </c>
      <c r="B140" s="87">
        <f t="shared" si="52"/>
        <v>3311.3112148259129</v>
      </c>
      <c r="C140" s="87" t="str">
        <f t="shared" si="53"/>
        <v>20805.5819724932j</v>
      </c>
      <c r="D140" s="87">
        <f t="shared" si="54"/>
        <v>0.99978341171434204</v>
      </c>
      <c r="E140" s="87" t="str">
        <f t="shared" si="55"/>
        <v>-0.0231173133027702j</v>
      </c>
      <c r="F140" s="87" t="str">
        <f t="shared" si="56"/>
        <v>0.999783411714342-0.0231173133027702j</v>
      </c>
      <c r="G140" s="87">
        <f t="shared" si="57"/>
        <v>4.3983340850763813E-4</v>
      </c>
      <c r="H140" s="87">
        <f t="shared" si="58"/>
        <v>-1.3245754004440551</v>
      </c>
      <c r="J140" s="87">
        <f t="shared" si="59"/>
        <v>14.187192118226601</v>
      </c>
      <c r="K140" s="87" t="str">
        <f t="shared" si="60"/>
        <v>1+1.0418395172726j</v>
      </c>
      <c r="L140" s="87">
        <f t="shared" si="61"/>
        <v>0.93977680936925156</v>
      </c>
      <c r="M140" s="87" t="str">
        <f t="shared" si="62"/>
        <v>0.0747617328563309j</v>
      </c>
      <c r="N140" s="87" t="str">
        <f t="shared" si="63"/>
        <v>0.939776809369252+0.0747617328563309j</v>
      </c>
      <c r="O140" s="87" t="str">
        <f t="shared" si="64"/>
        <v>1.14502830039137+1.01751310293302j</v>
      </c>
      <c r="P140" s="87" t="str">
        <f t="shared" si="65"/>
        <v>16.2447364784588+14.4356538741236j</v>
      </c>
      <c r="R140" s="87">
        <f t="shared" si="66"/>
        <v>23.645320197044338</v>
      </c>
      <c r="S140" s="87" t="str">
        <f t="shared" si="67"/>
        <v>1+0.00156041864793699j</v>
      </c>
      <c r="T140" s="87" t="str">
        <f t="shared" si="68"/>
        <v>0.939776809369252+0.0747617328563309j</v>
      </c>
      <c r="U140" s="87" t="str">
        <f t="shared" si="69"/>
        <v>1.05752187200416-0.0824682501886608j</v>
      </c>
      <c r="V140" s="87" t="str">
        <f t="shared" si="70"/>
        <v>25.0054432789161-1.94998818180085j</v>
      </c>
      <c r="X140" s="87" t="str">
        <f t="shared" si="71"/>
        <v>1.25930653566286+1.06800215596983j</v>
      </c>
      <c r="Y140" s="87">
        <f t="shared" si="72"/>
        <v>4.3560256412094303</v>
      </c>
      <c r="Z140" s="87">
        <f t="shared" si="73"/>
        <v>-139.69913862791375</v>
      </c>
      <c r="AB140" s="87" t="str">
        <f t="shared" si="74"/>
        <v>9.49913970177623-0.740767118148118j</v>
      </c>
      <c r="AC140" s="87">
        <f t="shared" si="75"/>
        <v>19.580016168647688</v>
      </c>
      <c r="AD140" s="87">
        <f t="shared" si="76"/>
        <v>175.54095341023981</v>
      </c>
      <c r="AF140" s="87" t="str">
        <f t="shared" si="77"/>
        <v>3.3098501729608-1.89248079944713j</v>
      </c>
      <c r="AG140" s="87">
        <f t="shared" si="78"/>
        <v>11.624625935654958</v>
      </c>
      <c r="AH140" s="87">
        <f t="shared" si="79"/>
        <v>150.24027250590768</v>
      </c>
      <c r="AJ140" s="87" t="str">
        <f t="shared" si="80"/>
        <v>157499.983087751-51.6108412385763j</v>
      </c>
      <c r="AK140" s="87" t="str">
        <f t="shared" si="81"/>
        <v>30000-0.0000187250237752439j</v>
      </c>
      <c r="AL140" s="87" t="str">
        <f t="shared" si="95"/>
        <v>10000-1068089.43155745j</v>
      </c>
      <c r="AM140" s="87" t="str">
        <f t="shared" si="96"/>
        <v>963.098966939985-331482.249121641j</v>
      </c>
      <c r="AN140" s="87" t="str">
        <f t="shared" si="97"/>
        <v>10963.09896694-331482.249121641j</v>
      </c>
      <c r="AO140" s="87" t="str">
        <f t="shared" si="98"/>
        <v>29669.5294068842-2674.23944689169j</v>
      </c>
      <c r="AP140" s="87" t="str">
        <f t="shared" si="99"/>
        <v>0.160000002309105+0.0000440411719101994j</v>
      </c>
      <c r="AQ140" s="87" t="str">
        <f t="shared" si="82"/>
        <v>1+2.84620361383707j</v>
      </c>
      <c r="AR140" s="87">
        <f t="shared" si="83"/>
        <v>9.4078307740190639E-8</v>
      </c>
      <c r="AS140" s="87" t="str">
        <f t="shared" si="84"/>
        <v>0.000158409123910529j</v>
      </c>
      <c r="AT140" s="87" t="str">
        <f t="shared" si="85"/>
        <v>9.40783077401906E-08+0.000158409123910529j</v>
      </c>
      <c r="AU140" s="87" t="str">
        <f t="shared" si="86"/>
        <v>5.39134950178374-1.89062841564349j</v>
      </c>
      <c r="AW140" s="87" t="str">
        <f t="shared" si="100"/>
        <v>0.858154498016438-0.31467876576042j</v>
      </c>
      <c r="AX140" s="87">
        <f t="shared" si="87"/>
        <v>-0.78078565551121404</v>
      </c>
      <c r="AY140" s="87">
        <f t="shared" si="88"/>
        <v>159.86239494502496</v>
      </c>
      <c r="AZ140" s="87" t="str">
        <f t="shared" si="89"/>
        <v>7.91862577991105-3.62487019156223j</v>
      </c>
      <c r="BA140" s="87">
        <f t="shared" si="90"/>
        <v>18.799230513136472</v>
      </c>
      <c r="BB140" s="87">
        <f t="shared" si="91"/>
        <v>155.40334835526477</v>
      </c>
      <c r="BD140" s="87" t="str">
        <f t="shared" si="92"/>
        <v>2.24483929149149-2.66558047773452j</v>
      </c>
      <c r="BE140" s="87">
        <f t="shared" si="93"/>
        <v>10.843840280143766</v>
      </c>
      <c r="BF140" s="87">
        <f t="shared" si="94"/>
        <v>130.10266745093273</v>
      </c>
      <c r="BH140" s="87">
        <f t="shared" si="101"/>
        <v>-9.8438402801437661</v>
      </c>
      <c r="BI140" s="107">
        <f t="shared" si="102"/>
        <v>-130.10266745093273</v>
      </c>
      <c r="BJ140" s="91"/>
      <c r="BK140" s="91"/>
      <c r="BL140" s="91"/>
      <c r="BM140" s="91"/>
      <c r="BN140" s="42"/>
      <c r="BO140" s="42"/>
      <c r="BP140" s="42"/>
    </row>
    <row r="141" spans="1:68" s="87" customFormat="1">
      <c r="A141" s="87">
        <v>77</v>
      </c>
      <c r="B141" s="87">
        <f t="shared" si="52"/>
        <v>3467.3685045253178</v>
      </c>
      <c r="C141" s="87" t="str">
        <f t="shared" si="53"/>
        <v>21786.1188422107j</v>
      </c>
      <c r="D141" s="87">
        <f t="shared" si="54"/>
        <v>0.99976251566723606</v>
      </c>
      <c r="E141" s="87" t="str">
        <f t="shared" si="55"/>
        <v>-0.0242067987135674j</v>
      </c>
      <c r="F141" s="87" t="str">
        <f t="shared" si="56"/>
        <v>0.999762515667236-0.0242067987135674j</v>
      </c>
      <c r="G141" s="87">
        <f t="shared" si="57"/>
        <v>4.8228693577131076E-4</v>
      </c>
      <c r="H141" s="87">
        <f t="shared" si="58"/>
        <v>-1.387005857774211</v>
      </c>
      <c r="J141" s="87">
        <f t="shared" si="59"/>
        <v>14.187192118226601</v>
      </c>
      <c r="K141" s="87" t="str">
        <f t="shared" si="60"/>
        <v>1+1.0909399010237j</v>
      </c>
      <c r="L141" s="87">
        <f t="shared" si="61"/>
        <v>0.93396658457121029</v>
      </c>
      <c r="M141" s="87" t="str">
        <f t="shared" si="62"/>
        <v>0.0782851447756187j</v>
      </c>
      <c r="N141" s="87" t="str">
        <f t="shared" si="63"/>
        <v>0.93396658457121+0.0782851447756187j</v>
      </c>
      <c r="O141" s="87" t="str">
        <f t="shared" si="64"/>
        <v>1.1604568241823+1.07080208977271j</v>
      </c>
      <c r="P141" s="87" t="str">
        <f t="shared" si="65"/>
        <v>16.4636239095814+15.191674968204j</v>
      </c>
      <c r="R141" s="87">
        <f t="shared" si="66"/>
        <v>23.645320197044338</v>
      </c>
      <c r="S141" s="87" t="str">
        <f t="shared" si="67"/>
        <v>1+0.0016339589131658j</v>
      </c>
      <c r="T141" s="87" t="str">
        <f t="shared" si="68"/>
        <v>0.93396658457121+0.0782851447756187j</v>
      </c>
      <c r="U141" s="87" t="str">
        <f t="shared" si="69"/>
        <v>1.06337767622409-0.087382908306797j</v>
      </c>
      <c r="V141" s="87" t="str">
        <f t="shared" si="70"/>
        <v>25.1439056447076-2.06619684666318j</v>
      </c>
      <c r="X141" s="87" t="str">
        <f t="shared" si="71"/>
        <v>1.27849246580735+1.12365825935168j</v>
      </c>
      <c r="Y141" s="87">
        <f t="shared" si="72"/>
        <v>4.6197111164839164</v>
      </c>
      <c r="Z141" s="87">
        <f t="shared" si="73"/>
        <v>-138.68798312627803</v>
      </c>
      <c r="AB141" s="87" t="str">
        <f t="shared" si="74"/>
        <v>9.55173918347392-0.784912799941127j</v>
      </c>
      <c r="AC141" s="87">
        <f t="shared" si="75"/>
        <v>19.630877165731459</v>
      </c>
      <c r="AD141" s="87">
        <f t="shared" si="76"/>
        <v>175.30228265031175</v>
      </c>
      <c r="AF141" s="87" t="str">
        <f t="shared" si="77"/>
        <v>3.23538156922538-1.94004416898044j</v>
      </c>
      <c r="AG141" s="87">
        <f t="shared" si="78"/>
        <v>11.532496174809225</v>
      </c>
      <c r="AH141" s="87">
        <f t="shared" si="79"/>
        <v>149.0516733767555</v>
      </c>
      <c r="AJ141" s="87" t="str">
        <f t="shared" si="80"/>
        <v>157499.981456088-54.043184689961j</v>
      </c>
      <c r="AK141" s="87" t="str">
        <f t="shared" si="81"/>
        <v>30000-0.0000196075069579896j</v>
      </c>
      <c r="AL141" s="87" t="str">
        <f t="shared" si="95"/>
        <v>10000-1020017.48834522j</v>
      </c>
      <c r="AM141" s="87" t="str">
        <f t="shared" si="96"/>
        <v>963.095093213087-316563.66324291j</v>
      </c>
      <c r="AN141" s="87" t="str">
        <f t="shared" si="97"/>
        <v>10963.0950932131-316563.66324291j</v>
      </c>
      <c r="AO141" s="87" t="str">
        <f t="shared" si="98"/>
        <v>29638.1725891597-2796.20985695818j</v>
      </c>
      <c r="AP141" s="87" t="str">
        <f t="shared" si="99"/>
        <v>0.160000002531883+0.0000461167683845562j</v>
      </c>
      <c r="AQ141" s="87" t="str">
        <f t="shared" si="82"/>
        <v>1+2.98034105761442j</v>
      </c>
      <c r="AR141" s="87">
        <f t="shared" si="83"/>
        <v>9.3506993552849226E-8</v>
      </c>
      <c r="AS141" s="87" t="str">
        <f t="shared" si="84"/>
        <v>0.000165874715918447j</v>
      </c>
      <c r="AT141" s="87" t="str">
        <f t="shared" si="85"/>
        <v>9.35069935528492E-08+0.000165874715918447j</v>
      </c>
      <c r="AU141" s="87" t="str">
        <f t="shared" si="86"/>
        <v>5.39124449635953-1.80555474821663j</v>
      </c>
      <c r="AW141" s="87" t="str">
        <f t="shared" si="100"/>
        <v>0.858121348582486-0.301640433673615j</v>
      </c>
      <c r="AX141" s="87">
        <f t="shared" si="87"/>
        <v>-0.82305899442087982</v>
      </c>
      <c r="AY141" s="87">
        <f t="shared" si="88"/>
        <v>160.6327845083083</v>
      </c>
      <c r="AZ141" s="87" t="str">
        <f t="shared" si="89"/>
        <v>7.9597898720606-3.55474118004547j</v>
      </c>
      <c r="BA141" s="87">
        <f t="shared" si="90"/>
        <v>18.807818171310579</v>
      </c>
      <c r="BB141" s="87">
        <f t="shared" si="91"/>
        <v>155.93506715862006</v>
      </c>
      <c r="BD141" s="87" t="str">
        <f t="shared" si="92"/>
        <v>2.19115423088537-2.64071521823585j</v>
      </c>
      <c r="BE141" s="87">
        <f t="shared" si="93"/>
        <v>10.709437180388342</v>
      </c>
      <c r="BF141" s="87">
        <f t="shared" si="94"/>
        <v>129.68445788506372</v>
      </c>
      <c r="BH141" s="87">
        <f t="shared" si="101"/>
        <v>-9.7094371803883419</v>
      </c>
      <c r="BI141" s="107">
        <f t="shared" si="102"/>
        <v>-129.68445788506372</v>
      </c>
      <c r="BJ141" s="91"/>
      <c r="BK141" s="91"/>
      <c r="BL141" s="91"/>
      <c r="BM141" s="91"/>
      <c r="BN141" s="42"/>
      <c r="BO141" s="42"/>
      <c r="BP141" s="42"/>
    </row>
    <row r="142" spans="1:68" s="87" customFormat="1">
      <c r="A142" s="87">
        <v>78</v>
      </c>
      <c r="B142" s="87">
        <f t="shared" si="52"/>
        <v>3630.7805477010156</v>
      </c>
      <c r="C142" s="87" t="str">
        <f t="shared" si="53"/>
        <v>22812.8669909085j</v>
      </c>
      <c r="D142" s="87">
        <f t="shared" si="54"/>
        <v>0.99973960360719871</v>
      </c>
      <c r="E142" s="87" t="str">
        <f t="shared" si="55"/>
        <v>-0.0253476299898983j</v>
      </c>
      <c r="F142" s="87" t="str">
        <f t="shared" si="56"/>
        <v>0.999739603607199-0.0253476299898983j</v>
      </c>
      <c r="G142" s="87">
        <f t="shared" si="57"/>
        <v>5.2884018442207173E-4</v>
      </c>
      <c r="H142" s="87">
        <f t="shared" si="58"/>
        <v>-1.4523793333429422</v>
      </c>
      <c r="J142" s="87">
        <f t="shared" si="59"/>
        <v>14.187192118226601</v>
      </c>
      <c r="K142" s="87" t="str">
        <f t="shared" si="60"/>
        <v>1+1.14235431456974j</v>
      </c>
      <c r="L142" s="87">
        <f t="shared" si="61"/>
        <v>0.92759579976546658</v>
      </c>
      <c r="M142" s="87" t="str">
        <f t="shared" si="62"/>
        <v>0.0819746099828483j</v>
      </c>
      <c r="N142" s="87" t="str">
        <f t="shared" si="63"/>
        <v>0.927595799765467+0.0819746099828483j</v>
      </c>
      <c r="O142" s="87" t="str">
        <f t="shared" si="64"/>
        <v>1.17769171276652+1.12744526872599j</v>
      </c>
      <c r="P142" s="87" t="str">
        <f t="shared" si="65"/>
        <v>16.708138585062+15.9952826302012j</v>
      </c>
      <c r="R142" s="87">
        <f t="shared" si="66"/>
        <v>23.645320197044338</v>
      </c>
      <c r="S142" s="87" t="str">
        <f t="shared" si="67"/>
        <v>1+0.00171096502431814j</v>
      </c>
      <c r="T142" s="87" t="str">
        <f t="shared" si="68"/>
        <v>0.927595799765467+0.0819746099828483j</v>
      </c>
      <c r="U142" s="87" t="str">
        <f t="shared" si="69"/>
        <v>1.06986332842288-0.092702731167866j</v>
      </c>
      <c r="V142" s="87" t="str">
        <f t="shared" si="70"/>
        <v>25.2972609676346-2.19198576160471j</v>
      </c>
      <c r="X142" s="87" t="str">
        <f t="shared" si="71"/>
        <v>1.29990072551976+1.18277337204046j</v>
      </c>
      <c r="Y142" s="87">
        <f t="shared" si="72"/>
        <v>4.8977498931183048</v>
      </c>
      <c r="Z142" s="87">
        <f t="shared" si="73"/>
        <v>-137.70109182856717</v>
      </c>
      <c r="AB142" s="87" t="str">
        <f t="shared" si="74"/>
        <v>9.60999624455641-0.832697854684465j</v>
      </c>
      <c r="AC142" s="87">
        <f t="shared" si="75"/>
        <v>19.686949704338975</v>
      </c>
      <c r="AD142" s="87">
        <f t="shared" si="76"/>
        <v>175.04773956853697</v>
      </c>
      <c r="AF142" s="87" t="str">
        <f t="shared" si="77"/>
        <v>3.15723353413182-1.98573336557241j</v>
      </c>
      <c r="AG142" s="87">
        <f t="shared" si="78"/>
        <v>11.433664859727187</v>
      </c>
      <c r="AH142" s="87">
        <f t="shared" si="79"/>
        <v>147.83227255521189</v>
      </c>
      <c r="AJ142" s="87" t="str">
        <f t="shared" si="80"/>
        <v>157499.979667005-56.5901608736233j</v>
      </c>
      <c r="AK142" s="87" t="str">
        <f t="shared" si="81"/>
        <v>30000-0.0000205315802918177j</v>
      </c>
      <c r="AL142" s="87" t="str">
        <f t="shared" si="95"/>
        <v>10000-974109.138981891j</v>
      </c>
      <c r="AM142" s="87" t="str">
        <f t="shared" si="96"/>
        <v>963.090845791824-302316.551331286j</v>
      </c>
      <c r="AN142" s="87" t="str">
        <f t="shared" si="97"/>
        <v>10963.0908457918-302316.551331286j</v>
      </c>
      <c r="AO142" s="87" t="str">
        <f t="shared" si="98"/>
        <v>29603.8950675269-2923.34084892756j</v>
      </c>
      <c r="AP142" s="87" t="str">
        <f t="shared" si="99"/>
        <v>0.160000002776154+0.000048290184705277j</v>
      </c>
      <c r="AQ142" s="87" t="str">
        <f t="shared" si="82"/>
        <v>1+3.12080020435628j</v>
      </c>
      <c r="AR142" s="87">
        <f t="shared" si="83"/>
        <v>9.288056000328199E-8</v>
      </c>
      <c r="AS142" s="87" t="str">
        <f t="shared" si="84"/>
        <v>0.000173692150438039j</v>
      </c>
      <c r="AT142" s="87" t="str">
        <f t="shared" si="85"/>
        <v>9.2880560003282E-08+0.000173692150438039j</v>
      </c>
      <c r="AU142" s="87" t="str">
        <f t="shared" si="86"/>
        <v>5.39114873013399-1.7243108933338j</v>
      </c>
      <c r="AW142" s="87" t="str">
        <f t="shared" si="100"/>
        <v>0.858088100865336-0.289241873747121j</v>
      </c>
      <c r="AX142" s="87">
        <f t="shared" si="87"/>
        <v>-0.86198832179323315</v>
      </c>
      <c r="AY142" s="87">
        <f t="shared" si="88"/>
        <v>161.37221514895353</v>
      </c>
      <c r="AZ142" s="87" t="str">
        <f t="shared" si="89"/>
        <v>8.00537233906028-3.49414144119913j</v>
      </c>
      <c r="BA142" s="87">
        <f t="shared" si="90"/>
        <v>18.824961382545744</v>
      </c>
      <c r="BB142" s="87">
        <f t="shared" si="91"/>
        <v>156.41995471749047</v>
      </c>
      <c r="BD142" s="87" t="str">
        <f t="shared" si="92"/>
        <v>2.13482728787118-2.61713831575849j</v>
      </c>
      <c r="BE142" s="87">
        <f t="shared" si="93"/>
        <v>10.571676537933939</v>
      </c>
      <c r="BF142" s="87">
        <f t="shared" si="94"/>
        <v>129.20448770416539</v>
      </c>
      <c r="BH142" s="87">
        <f t="shared" si="101"/>
        <v>-9.5716765379339392</v>
      </c>
      <c r="BI142" s="107">
        <f t="shared" si="102"/>
        <v>-129.20448770416539</v>
      </c>
      <c r="BJ142" s="91"/>
      <c r="BK142" s="91"/>
      <c r="BL142" s="91"/>
      <c r="BM142" s="91"/>
      <c r="BN142" s="42"/>
      <c r="BO142" s="42"/>
      <c r="BP142" s="42"/>
    </row>
    <row r="143" spans="1:68" s="87" customFormat="1">
      <c r="A143" s="87">
        <v>79</v>
      </c>
      <c r="B143" s="87">
        <f t="shared" si="52"/>
        <v>3801.893963205614</v>
      </c>
      <c r="C143" s="87" t="str">
        <f t="shared" si="53"/>
        <v>23888.0042890683j</v>
      </c>
      <c r="D143" s="87">
        <f t="shared" si="54"/>
        <v>0.99971448103293903</v>
      </c>
      <c r="E143" s="87" t="str">
        <f t="shared" si="55"/>
        <v>-0.0265422269878537j</v>
      </c>
      <c r="F143" s="87" t="str">
        <f t="shared" si="56"/>
        <v>0.999714481032939-0.0265422269878537j</v>
      </c>
      <c r="G143" s="87">
        <f t="shared" si="57"/>
        <v>5.7988947313491199E-4</v>
      </c>
      <c r="H143" s="87">
        <f t="shared" si="58"/>
        <v>-1.520834640041109</v>
      </c>
      <c r="J143" s="87">
        <f t="shared" si="59"/>
        <v>14.187192118226601</v>
      </c>
      <c r="K143" s="87" t="str">
        <f t="shared" si="60"/>
        <v>1+1.19619181477509j</v>
      </c>
      <c r="L143" s="87">
        <f t="shared" si="61"/>
        <v>0.92061037313364891</v>
      </c>
      <c r="M143" s="87" t="str">
        <f t="shared" si="62"/>
        <v>0.0858379543283787j</v>
      </c>
      <c r="N143" s="87" t="str">
        <f t="shared" si="63"/>
        <v>0.920610373133649+0.0858379543283787j</v>
      </c>
      <c r="O143" s="87" t="str">
        <f t="shared" si="64"/>
        <v>1.19698101526516+1.18773961815449j</v>
      </c>
      <c r="P143" s="87" t="str">
        <f t="shared" si="65"/>
        <v>16.9817996254368+16.8506901491869j</v>
      </c>
      <c r="R143" s="87">
        <f t="shared" si="66"/>
        <v>23.645320197044338</v>
      </c>
      <c r="S143" s="87" t="str">
        <f t="shared" si="67"/>
        <v>1+0.00179160032168012j</v>
      </c>
      <c r="T143" s="87" t="str">
        <f t="shared" si="68"/>
        <v>0.920610373133649+0.0858379543283787j</v>
      </c>
      <c r="U143" s="87" t="str">
        <f t="shared" si="69"/>
        <v>1.07705368244765-0.0984786692907615j</v>
      </c>
      <c r="V143" s="87" t="str">
        <f t="shared" si="70"/>
        <v>25.4672791908804-2.32855966795889j</v>
      </c>
      <c r="X143" s="87" t="str">
        <f t="shared" si="71"/>
        <v>1.32383148455466+1.24564690362036j</v>
      </c>
      <c r="Y143" s="87">
        <f t="shared" si="72"/>
        <v>5.1906185903150606</v>
      </c>
      <c r="Z143" s="87">
        <f t="shared" si="73"/>
        <v>-136.74286920177533</v>
      </c>
      <c r="AB143" s="87" t="str">
        <f t="shared" si="74"/>
        <v>9.67458325613006-0.884579942980398j</v>
      </c>
      <c r="AC143" s="87">
        <f t="shared" si="75"/>
        <v>19.748801702078495</v>
      </c>
      <c r="AD143" s="87">
        <f t="shared" si="76"/>
        <v>174.77577861441515</v>
      </c>
      <c r="AF143" s="87" t="str">
        <f t="shared" si="77"/>
        <v>3.07548229019596-2.02921122561774j</v>
      </c>
      <c r="AG143" s="87">
        <f t="shared" si="78"/>
        <v>11.327810907736449</v>
      </c>
      <c r="AH143" s="87">
        <f t="shared" si="79"/>
        <v>146.58306771611998</v>
      </c>
      <c r="AJ143" s="87" t="str">
        <f t="shared" si="80"/>
        <v>157499.977705315-59.2571722515053j</v>
      </c>
      <c r="AK143" s="87" t="str">
        <f t="shared" si="81"/>
        <v>30000-0.0000214992038601615j</v>
      </c>
      <c r="AL143" s="87" t="str">
        <f t="shared" si="95"/>
        <v>10000-930267.005703431j</v>
      </c>
      <c r="AM143" s="87" t="str">
        <f t="shared" si="96"/>
        <v>963.08618863008-288710.693351514j</v>
      </c>
      <c r="AN143" s="87" t="str">
        <f t="shared" si="97"/>
        <v>10963.0861886301-288710.693351514j</v>
      </c>
      <c r="AO143" s="87" t="str">
        <f t="shared" si="98"/>
        <v>29566.4356031815-3055.79215007462j</v>
      </c>
      <c r="AP143" s="87" t="str">
        <f t="shared" si="99"/>
        <v>0.160000003043992+0.0000505660309794229j</v>
      </c>
      <c r="AQ143" s="87" t="str">
        <f t="shared" si="82"/>
        <v>1+3.26787898674454j</v>
      </c>
      <c r="AR143" s="87">
        <f t="shared" si="83"/>
        <v>9.2193689274849004E-8</v>
      </c>
      <c r="AS143" s="87" t="str">
        <f t="shared" si="84"/>
        <v>0.000181878009296022j</v>
      </c>
      <c r="AT143" s="87" t="str">
        <f t="shared" si="85"/>
        <v>9.2193689274849E-08+0.000181878009296022j</v>
      </c>
      <c r="AU143" s="87" t="str">
        <f t="shared" si="86"/>
        <v>5.39106139014594-1.64672452332524j</v>
      </c>
      <c r="AW143" s="87" t="str">
        <f t="shared" si="100"/>
        <v>0.858054472826587-0.277456780412638j</v>
      </c>
      <c r="AX143" s="87">
        <f t="shared" si="87"/>
        <v>-0.89781405379339707</v>
      </c>
      <c r="AY143" s="87">
        <f t="shared" si="88"/>
        <v>162.08109204025084</v>
      </c>
      <c r="AZ143" s="87" t="str">
        <f t="shared" si="89"/>
        <v>8.05588673265867-3.44329649872688j</v>
      </c>
      <c r="BA143" s="87">
        <f t="shared" si="90"/>
        <v>18.850987648285098</v>
      </c>
      <c r="BB143" s="87">
        <f t="shared" si="91"/>
        <v>156.85687065466598</v>
      </c>
      <c r="BD143" s="87" t="str">
        <f t="shared" si="92"/>
        <v>2.07591292176452-2.59448718290508j</v>
      </c>
      <c r="BE143" s="87">
        <f t="shared" si="93"/>
        <v>10.429996853943056</v>
      </c>
      <c r="BF143" s="87">
        <f t="shared" si="94"/>
        <v>128.66415975637085</v>
      </c>
      <c r="BH143" s="87">
        <f t="shared" si="101"/>
        <v>-9.4299968539430559</v>
      </c>
      <c r="BI143" s="107">
        <f t="shared" si="102"/>
        <v>-128.66415975637085</v>
      </c>
      <c r="BJ143" s="91"/>
      <c r="BK143" s="91"/>
      <c r="BL143" s="91"/>
      <c r="BM143" s="91"/>
      <c r="BN143" s="42"/>
      <c r="BO143" s="42"/>
      <c r="BP143" s="42"/>
    </row>
    <row r="144" spans="1:68" s="87" customFormat="1">
      <c r="A144" s="87">
        <v>80</v>
      </c>
      <c r="B144" s="87">
        <f t="shared" si="52"/>
        <v>3981.0717055349755</v>
      </c>
      <c r="C144" s="87" t="str">
        <f t="shared" si="53"/>
        <v>25013.8112470457j</v>
      </c>
      <c r="D144" s="87">
        <f t="shared" si="54"/>
        <v>0.99968693467803238</v>
      </c>
      <c r="E144" s="87" t="str">
        <f t="shared" si="55"/>
        <v>-0.0277931236078286j</v>
      </c>
      <c r="F144" s="87" t="str">
        <f t="shared" si="56"/>
        <v>0.999686934678032-0.0277931236078286j</v>
      </c>
      <c r="G144" s="87">
        <f t="shared" si="57"/>
        <v>6.3586951543548906E-4</v>
      </c>
      <c r="H144" s="87">
        <f t="shared" si="58"/>
        <v>-1.592517149484209</v>
      </c>
      <c r="J144" s="87">
        <f t="shared" si="59"/>
        <v>14.187192118226601</v>
      </c>
      <c r="K144" s="87" t="str">
        <f t="shared" si="60"/>
        <v>1+1.25256659819581j</v>
      </c>
      <c r="L144" s="87">
        <f t="shared" si="61"/>
        <v>0.91295100514110317</v>
      </c>
      <c r="M144" s="87" t="str">
        <f t="shared" si="62"/>
        <v>0.0898833724835344j</v>
      </c>
      <c r="N144" s="87" t="str">
        <f t="shared" si="63"/>
        <v>0.912951005141103+0.0898833724835344j</v>
      </c>
      <c r="O144" s="87" t="str">
        <f t="shared" si="64"/>
        <v>1.21861503868687+1.252020494334j</v>
      </c>
      <c r="P144" s="87" t="str">
        <f t="shared" si="65"/>
        <v>17.2887256720108+17.7626552890735j</v>
      </c>
      <c r="R144" s="87">
        <f t="shared" si="66"/>
        <v>23.645320197044338</v>
      </c>
      <c r="S144" s="87" t="str">
        <f t="shared" si="67"/>
        <v>1+0.00187603584352843j</v>
      </c>
      <c r="T144" s="87" t="str">
        <f t="shared" si="68"/>
        <v>0.912951005141103+0.0898833724835344j</v>
      </c>
      <c r="U144" s="87" t="str">
        <f t="shared" si="69"/>
        <v>1.08503397703583-0.104770657716611j</v>
      </c>
      <c r="V144" s="87" t="str">
        <f t="shared" si="70"/>
        <v>25.6559758116847-2.4773357489642j</v>
      </c>
      <c r="X144" s="87" t="str">
        <f t="shared" si="71"/>
        <v>1.35063503281432+1.31261588982106j</v>
      </c>
      <c r="Y144" s="87">
        <f t="shared" si="72"/>
        <v>5.4988267199711904</v>
      </c>
      <c r="Z144" s="87">
        <f t="shared" si="73"/>
        <v>-135.81786829029824</v>
      </c>
      <c r="AB144" s="87" t="str">
        <f t="shared" si="74"/>
        <v>9.74626587108233-0.941097428473j</v>
      </c>
      <c r="AC144" s="87">
        <f t="shared" si="75"/>
        <v>19.817070203636685</v>
      </c>
      <c r="AD144" s="87">
        <f t="shared" si="76"/>
        <v>174.48463028906903</v>
      </c>
      <c r="AF144" s="87" t="str">
        <f t="shared" si="77"/>
        <v>2.99024314418871-2.07013765473305j</v>
      </c>
      <c r="AG144" s="87">
        <f t="shared" si="78"/>
        <v>11.214621406046559</v>
      </c>
      <c r="AH144" s="87">
        <f t="shared" si="79"/>
        <v>145.30524380817815</v>
      </c>
      <c r="AJ144" s="87" t="str">
        <f t="shared" si="80"/>
        <v>157499.975554364-62.0498758939159j</v>
      </c>
      <c r="AK144" s="87" t="str">
        <f t="shared" si="81"/>
        <v>30000-0.0000225124301223411j</v>
      </c>
      <c r="AL144" s="87" t="str">
        <f t="shared" si="95"/>
        <v>10000-888398.093467134j</v>
      </c>
      <c r="AM144" s="87" t="str">
        <f t="shared" si="96"/>
        <v>963.08108220555-275717.229453788j</v>
      </c>
      <c r="AN144" s="87" t="str">
        <f t="shared" si="97"/>
        <v>10963.0810822056-275717.229453788j</v>
      </c>
      <c r="AO144" s="87" t="str">
        <f t="shared" si="98"/>
        <v>29525.5117232948-3193.71954421704j</v>
      </c>
      <c r="AP144" s="87" t="str">
        <f t="shared" si="99"/>
        <v>0.160000003337672+0.0000529491345816677j</v>
      </c>
      <c r="AQ144" s="87" t="str">
        <f t="shared" si="82"/>
        <v>1+3.42188937859585j</v>
      </c>
      <c r="AR144" s="87">
        <f t="shared" si="83"/>
        <v>9.1440550497553281E-8</v>
      </c>
      <c r="AS144" s="87" t="str">
        <f t="shared" si="84"/>
        <v>0.000190449655796532j</v>
      </c>
      <c r="AT144" s="87" t="str">
        <f t="shared" si="85"/>
        <v>9.14405504975533E-08+0.000190449655796532j</v>
      </c>
      <c r="AU144" s="87" t="str">
        <f t="shared" si="86"/>
        <v>5.39098173496446-1.57263106835128j</v>
      </c>
      <c r="AW144" s="87" t="str">
        <f t="shared" si="100"/>
        <v>0.858020179240138-0.266260148311828j</v>
      </c>
      <c r="AX144" s="87">
        <f t="shared" si="87"/>
        <v>-0.93076368471382775</v>
      </c>
      <c r="AY144" s="87">
        <f t="shared" si="88"/>
        <v>162.7598791909256</v>
      </c>
      <c r="AZ144" s="87" t="str">
        <f t="shared" si="89"/>
        <v>8.11191604874699-3.40252278058172j</v>
      </c>
      <c r="BA144" s="87">
        <f t="shared" si="90"/>
        <v>18.886306518922851</v>
      </c>
      <c r="BB144" s="87">
        <f t="shared" si="91"/>
        <v>157.24450947999463</v>
      </c>
      <c r="BD144" s="87" t="str">
        <f t="shared" si="92"/>
        <v>2.01449379957327-2.57240246462592j</v>
      </c>
      <c r="BE144" s="87">
        <f t="shared" si="93"/>
        <v>10.283857721332728</v>
      </c>
      <c r="BF144" s="87">
        <f t="shared" si="94"/>
        <v>128.06512299910378</v>
      </c>
      <c r="BH144" s="87">
        <f t="shared" si="101"/>
        <v>-9.283857721332728</v>
      </c>
      <c r="BI144" s="107">
        <f t="shared" si="102"/>
        <v>-128.06512299910378</v>
      </c>
      <c r="BJ144" s="91"/>
      <c r="BK144" s="91"/>
      <c r="BL144" s="91"/>
      <c r="BM144" s="91"/>
      <c r="BN144" s="42"/>
      <c r="BO144" s="42"/>
      <c r="BP144" s="42"/>
    </row>
    <row r="145" spans="1:68" s="87" customFormat="1">
      <c r="A145" s="87">
        <v>81</v>
      </c>
      <c r="B145" s="87">
        <f t="shared" si="52"/>
        <v>4168.6938347033556</v>
      </c>
      <c r="C145" s="87" t="str">
        <f t="shared" si="53"/>
        <v>26192.6758523383j</v>
      </c>
      <c r="D145" s="87">
        <f t="shared" si="54"/>
        <v>0.99965673070049399</v>
      </c>
      <c r="E145" s="87" t="str">
        <f t="shared" si="55"/>
        <v>-0.0291029731692648j</v>
      </c>
      <c r="F145" s="87" t="str">
        <f t="shared" si="56"/>
        <v>0.999656730700494-0.0291029731692648j</v>
      </c>
      <c r="G145" s="87">
        <f t="shared" si="57"/>
        <v>6.9725715603714811E-4</v>
      </c>
      <c r="H145" s="87">
        <f t="shared" si="58"/>
        <v>-1.6675791035796468</v>
      </c>
      <c r="J145" s="87">
        <f t="shared" si="59"/>
        <v>14.187192118226601</v>
      </c>
      <c r="K145" s="87" t="str">
        <f t="shared" si="60"/>
        <v>1+1.31159824330584j</v>
      </c>
      <c r="L145" s="87">
        <f t="shared" si="61"/>
        <v>0.90455267514103888</v>
      </c>
      <c r="M145" s="87" t="str">
        <f t="shared" si="62"/>
        <v>0.0941194453226018j</v>
      </c>
      <c r="N145" s="87" t="str">
        <f t="shared" si="63"/>
        <v>0.904552675141039+0.0941194453226018j</v>
      </c>
      <c r="O145" s="87" t="str">
        <f t="shared" si="64"/>
        <v>1.24293540754117+1.3206680882238j</v>
      </c>
      <c r="P145" s="87" t="str">
        <f t="shared" si="65"/>
        <v>17.6337634173329+18.7365718920421j</v>
      </c>
      <c r="R145" s="87">
        <f t="shared" si="66"/>
        <v>23.645320197044338</v>
      </c>
      <c r="S145" s="87" t="str">
        <f t="shared" si="67"/>
        <v>1+0.00196445068892537j</v>
      </c>
      <c r="T145" s="87" t="str">
        <f t="shared" si="68"/>
        <v>0.904552675141039+0.0941194453226018j</v>
      </c>
      <c r="U145" s="87" t="str">
        <f t="shared" si="69"/>
        <v>1.09390157945006-0.11164961641475j</v>
      </c>
      <c r="V145" s="87" t="str">
        <f t="shared" si="70"/>
        <v>25.8656531101492-2.63999093000394j</v>
      </c>
      <c r="X145" s="87" t="str">
        <f t="shared" si="71"/>
        <v>1.38072231812898+1.38406111037634j</v>
      </c>
      <c r="Y145" s="87">
        <f t="shared" si="72"/>
        <v>5.8229287316616771</v>
      </c>
      <c r="Z145" s="87">
        <f t="shared" si="73"/>
        <v>-134.93080882593546</v>
      </c>
      <c r="AB145" s="87" t="str">
        <f t="shared" si="74"/>
        <v>9.82591868619897-1.00288734639927j</v>
      </c>
      <c r="AC145" s="87">
        <f t="shared" si="75"/>
        <v>19.89247133989862</v>
      </c>
      <c r="AD145" s="87">
        <f t="shared" si="76"/>
        <v>174.1722580311064</v>
      </c>
      <c r="AF145" s="87" t="str">
        <f t="shared" si="77"/>
        <v>2.90167221598312-2.10817489187294j</v>
      </c>
      <c r="AG145" s="87">
        <f t="shared" si="78"/>
        <v>11.093795095184223</v>
      </c>
      <c r="AH145" s="87">
        <f t="shared" si="79"/>
        <v>144.00017286072827</v>
      </c>
      <c r="AJ145" s="87" t="str">
        <f t="shared" si="80"/>
        <v>157499.973195893-64.9741954785841j</v>
      </c>
      <c r="AK145" s="87" t="str">
        <f t="shared" si="81"/>
        <v>30000-0.0000235734082671045j</v>
      </c>
      <c r="AL145" s="87" t="str">
        <f t="shared" si="95"/>
        <v>10000-848413.592696694j</v>
      </c>
      <c r="AM145" s="87" t="str">
        <f t="shared" si="96"/>
        <v>963.075483184612-263308.598758131j</v>
      </c>
      <c r="AN145" s="87" t="str">
        <f t="shared" si="97"/>
        <v>10963.0754831846-263308.598758131j</v>
      </c>
      <c r="AO145" s="87" t="str">
        <f t="shared" si="98"/>
        <v>29480.8184185064-3337.27320703033j</v>
      </c>
      <c r="AP145" s="87" t="str">
        <f t="shared" si="99"/>
        <v>0.160000003659685+0.0000554445503937991j</v>
      </c>
      <c r="AQ145" s="87" t="str">
        <f t="shared" si="82"/>
        <v>1+3.58315805659988j</v>
      </c>
      <c r="AR145" s="87">
        <f t="shared" si="83"/>
        <v>9.0614750249578484E-8</v>
      </c>
      <c r="AS145" s="87" t="str">
        <f t="shared" si="84"/>
        <v>0.000199425271551016j</v>
      </c>
      <c r="AT145" s="87" t="str">
        <f t="shared" si="85"/>
        <v>9.06147502495785E-08+0.000199425271551016j</v>
      </c>
      <c r="AU145" s="87" t="str">
        <f t="shared" si="86"/>
        <v>5.39090908839519-1.50187336735162j</v>
      </c>
      <c r="AW145" s="87" t="str">
        <f t="shared" si="100"/>
        <v>0.857984929279182-0.255628219111705j</v>
      </c>
      <c r="AX145" s="87">
        <f t="shared" si="87"/>
        <v>-0.96105183520384352</v>
      </c>
      <c r="AY145" s="87">
        <f t="shared" si="88"/>
        <v>163.40908922279169</v>
      </c>
      <c r="AZ145" s="87" t="str">
        <f t="shared" si="89"/>
        <v>8.17412384275171-3.37224432386483j</v>
      </c>
      <c r="BA145" s="87">
        <f t="shared" si="90"/>
        <v>18.931419504694777</v>
      </c>
      <c r="BB145" s="87">
        <f t="shared" si="91"/>
        <v>157.58134725389812</v>
      </c>
      <c r="BD145" s="87" t="str">
        <f t="shared" si="92"/>
        <v>1.95068203783616-2.55053158652943j</v>
      </c>
      <c r="BE145" s="87">
        <f t="shared" si="93"/>
        <v>10.132743259980387</v>
      </c>
      <c r="BF145" s="87">
        <f t="shared" si="94"/>
        <v>127.40926208352006</v>
      </c>
      <c r="BH145" s="87">
        <f t="shared" si="101"/>
        <v>-9.1327432599803871</v>
      </c>
      <c r="BI145" s="107">
        <f t="shared" si="102"/>
        <v>-127.40926208352006</v>
      </c>
      <c r="BJ145" s="91"/>
      <c r="BK145" s="91"/>
      <c r="BL145" s="91"/>
      <c r="BM145" s="91"/>
      <c r="BN145" s="42"/>
      <c r="BO145" s="42"/>
      <c r="BP145" s="42"/>
    </row>
    <row r="146" spans="1:68" s="87" customFormat="1">
      <c r="A146" s="87">
        <v>82</v>
      </c>
      <c r="B146" s="87">
        <f t="shared" si="52"/>
        <v>4365.1583224016631</v>
      </c>
      <c r="C146" s="87" t="str">
        <f t="shared" si="53"/>
        <v>27427.0986348268j</v>
      </c>
      <c r="D146" s="87">
        <f t="shared" si="54"/>
        <v>0.99962361269768629</v>
      </c>
      <c r="E146" s="87" t="str">
        <f t="shared" si="55"/>
        <v>-0.0304745540386964j</v>
      </c>
      <c r="F146" s="87" t="str">
        <f t="shared" si="56"/>
        <v>0.999623612697686-0.0304745540386964j</v>
      </c>
      <c r="G146" s="87">
        <f t="shared" si="57"/>
        <v>7.64575474121731E-4</v>
      </c>
      <c r="H146" s="87">
        <f t="shared" si="58"/>
        <v>-1.7461799411410859</v>
      </c>
      <c r="J146" s="87">
        <f t="shared" si="59"/>
        <v>14.187192118226601</v>
      </c>
      <c r="K146" s="87" t="str">
        <f t="shared" si="60"/>
        <v>1+1.37341196413895j</v>
      </c>
      <c r="L146" s="87">
        <f t="shared" si="61"/>
        <v>0.8953440894119542</v>
      </c>
      <c r="M146" s="87" t="str">
        <f t="shared" si="62"/>
        <v>0.0985551581240119j</v>
      </c>
      <c r="N146" s="87" t="str">
        <f t="shared" si="63"/>
        <v>0.895344089411954+0.0985551581240119j</v>
      </c>
      <c r="O146" s="87" t="str">
        <f t="shared" si="64"/>
        <v>1.27034651021932+1.39411515384192j</v>
      </c>
      <c r="P146" s="87" t="str">
        <f t="shared" si="65"/>
        <v>18.0226499972002+19.7785795224864j</v>
      </c>
      <c r="R146" s="87">
        <f t="shared" si="66"/>
        <v>23.645320197044338</v>
      </c>
      <c r="S146" s="87" t="str">
        <f t="shared" si="67"/>
        <v>1+0.00205703239761201j</v>
      </c>
      <c r="T146" s="87" t="str">
        <f t="shared" si="68"/>
        <v>0.895344089411954+0.0985551581240119j</v>
      </c>
      <c r="U146" s="87" t="str">
        <f t="shared" si="69"/>
        <v>1.10376807974032-0.119199988580399j</v>
      </c>
      <c r="V146" s="87" t="str">
        <f t="shared" si="70"/>
        <v>26.0989496687366-2.81852189746756j</v>
      </c>
      <c r="X146" s="87" t="str">
        <f t="shared" si="71"/>
        <v>1.41457821351336+1.46041434976585j</v>
      </c>
      <c r="Y146" s="87">
        <f t="shared" si="72"/>
        <v>6.1635383086144504</v>
      </c>
      <c r="Z146" s="87">
        <f t="shared" si="73"/>
        <v>-134.08660818372374</v>
      </c>
      <c r="AB146" s="87" t="str">
        <f t="shared" si="74"/>
        <v>9.9145440537738-1.07070820372677j</v>
      </c>
      <c r="AC146" s="87">
        <f t="shared" si="75"/>
        <v>19.975812045719387</v>
      </c>
      <c r="AD146" s="87">
        <f t="shared" si="76"/>
        <v>173.83630488721195</v>
      </c>
      <c r="AF146" s="87" t="str">
        <f t="shared" si="77"/>
        <v>2.80996734919612-2.14299326230447j</v>
      </c>
      <c r="AG146" s="87">
        <f t="shared" si="78"/>
        <v>10.965045967143812</v>
      </c>
      <c r="AH146" s="87">
        <f t="shared" si="79"/>
        <v>142.66941058652418</v>
      </c>
      <c r="AJ146" s="87" t="str">
        <f t="shared" si="80"/>
        <v>157499.970609882-68.036333855168j</v>
      </c>
      <c r="AK146" s="87" t="str">
        <f t="shared" si="81"/>
        <v>30000-0.0000246843887713441j</v>
      </c>
      <c r="AL146" s="87" t="str">
        <f t="shared" si="95"/>
        <v>10000-810228.69090515j</v>
      </c>
      <c r="AM146" s="87" t="str">
        <f t="shared" si="96"/>
        <v>963.069344055074-251458.480894048j</v>
      </c>
      <c r="AN146" s="87" t="str">
        <f t="shared" si="97"/>
        <v>10963.0693440551-251458.480894048j</v>
      </c>
      <c r="AO146" s="87" t="str">
        <f t="shared" si="98"/>
        <v>29432.0268485537-3486.59579671203j</v>
      </c>
      <c r="AP146" s="87" t="str">
        <f t="shared" si="99"/>
        <v>0.160000004012764+0.0000580575715267896j</v>
      </c>
      <c r="AQ146" s="87" t="str">
        <f t="shared" si="82"/>
        <v>1+3.75202709324431j</v>
      </c>
      <c r="AR146" s="87">
        <f t="shared" si="83"/>
        <v>8.9709278283304584E-8</v>
      </c>
      <c r="AS146" s="87" t="str">
        <f t="shared" si="84"/>
        <v>0.000208823895043872j</v>
      </c>
      <c r="AT146" s="87" t="str">
        <f t="shared" si="85"/>
        <v>8.97092782833046E-08+0.000208823895043872j</v>
      </c>
      <c r="AU146" s="87" t="str">
        <f t="shared" si="86"/>
        <v>5.39084283373971-1.43430133470655j</v>
      </c>
      <c r="AW146" s="87" t="str">
        <f t="shared" si="100"/>
        <v>0.857948424057281-0.245538430942701j</v>
      </c>
      <c r="AX146" s="87">
        <f t="shared" si="87"/>
        <v>-0.98888042887950556</v>
      </c>
      <c r="AY146" s="87">
        <f t="shared" si="88"/>
        <v>164.0292738975136</v>
      </c>
      <c r="AZ146" s="87" t="str">
        <f t="shared" si="89"/>
        <v>8.24326743384117-3.35301400648849j</v>
      </c>
      <c r="BA146" s="87">
        <f t="shared" si="90"/>
        <v>18.986931616839883</v>
      </c>
      <c r="BB146" s="87">
        <f t="shared" si="91"/>
        <v>157.86557878472553</v>
      </c>
      <c r="BD146" s="87" t="str">
        <f t="shared" si="92"/>
        <v>1.8846198557482-2.52853266608132j</v>
      </c>
      <c r="BE146" s="87">
        <f t="shared" si="93"/>
        <v>9.9761655382642793</v>
      </c>
      <c r="BF146" s="87">
        <f t="shared" si="94"/>
        <v>126.69868448403773</v>
      </c>
      <c r="BH146" s="87">
        <f t="shared" si="101"/>
        <v>-8.9761655382642793</v>
      </c>
      <c r="BI146" s="107">
        <f t="shared" si="102"/>
        <v>-126.69868448403773</v>
      </c>
      <c r="BJ146" s="91"/>
      <c r="BK146" s="91"/>
      <c r="BL146" s="91"/>
      <c r="BM146" s="91"/>
      <c r="BN146" s="42"/>
      <c r="BO146" s="42"/>
      <c r="BP146" s="42"/>
    </row>
    <row r="147" spans="1:68" s="87" customFormat="1">
      <c r="A147" s="87">
        <v>83</v>
      </c>
      <c r="B147" s="87">
        <f t="shared" si="52"/>
        <v>4570.8818961487532</v>
      </c>
      <c r="C147" s="87" t="str">
        <f t="shared" si="53"/>
        <v>28719.697970735j</v>
      </c>
      <c r="D147" s="87">
        <f t="shared" si="54"/>
        <v>0.99958729952970782</v>
      </c>
      <c r="E147" s="87" t="str">
        <f t="shared" si="55"/>
        <v>-0.0319107755230389j</v>
      </c>
      <c r="F147" s="87" t="str">
        <f t="shared" si="56"/>
        <v>0.999587299529708-0.0319107755230389j</v>
      </c>
      <c r="G147" s="87">
        <f t="shared" si="57"/>
        <v>8.3839829039662641E-4</v>
      </c>
      <c r="H147" s="87">
        <f t="shared" si="58"/>
        <v>-1.8284866403126137</v>
      </c>
      <c r="J147" s="87">
        <f t="shared" si="59"/>
        <v>14.187192118226601</v>
      </c>
      <c r="K147" s="87" t="str">
        <f t="shared" si="60"/>
        <v>1+1.43813887588456j</v>
      </c>
      <c r="L147" s="87">
        <f t="shared" si="61"/>
        <v>0.88524707594269714</v>
      </c>
      <c r="M147" s="87" t="str">
        <f t="shared" si="62"/>
        <v>0.103199919629323j</v>
      </c>
      <c r="N147" s="87" t="str">
        <f t="shared" si="63"/>
        <v>0.885247075942697+0.103199919629323j</v>
      </c>
      <c r="O147" s="87" t="str">
        <f t="shared" si="64"/>
        <v>1.30133008188264+1.47285628098189j</v>
      </c>
      <c r="P147" s="87" t="str">
        <f t="shared" si="65"/>
        <v>18.4622198808966+20.8956950208268j</v>
      </c>
      <c r="R147" s="87">
        <f t="shared" si="66"/>
        <v>23.645320197044338</v>
      </c>
      <c r="S147" s="87" t="str">
        <f t="shared" si="67"/>
        <v>1+0.00215397734780513j</v>
      </c>
      <c r="T147" s="87" t="str">
        <f t="shared" si="68"/>
        <v>0.885247075942697+0.103199919629323j</v>
      </c>
      <c r="U147" s="87" t="str">
        <f t="shared" si="69"/>
        <v>1.11476181586014-0.127522988239847j</v>
      </c>
      <c r="V147" s="87" t="str">
        <f t="shared" si="70"/>
        <v>26.3589000794516-3.0153218894151j</v>
      </c>
      <c r="X147" s="87" t="str">
        <f t="shared" si="71"/>
        <v>1.45277835844042+1.5421670218796j</v>
      </c>
      <c r="Y147" s="87">
        <f t="shared" si="72"/>
        <v>6.521345206503991</v>
      </c>
      <c r="Z147" s="87">
        <f t="shared" si="73"/>
        <v>-133.29042853282527</v>
      </c>
      <c r="AB147" s="87" t="str">
        <f t="shared" si="74"/>
        <v>10.0132947633442-1.14546915061205j</v>
      </c>
      <c r="AC147" s="87">
        <f t="shared" si="75"/>
        <v>20.068003912610148</v>
      </c>
      <c r="AD147" s="87">
        <f t="shared" si="76"/>
        <v>173.47402706763756</v>
      </c>
      <c r="AF147" s="87" t="str">
        <f t="shared" si="77"/>
        <v>2.71536807561754-2.1742772765188j</v>
      </c>
      <c r="AG147" s="87">
        <f t="shared" si="78"/>
        <v>10.828106900689559</v>
      </c>
      <c r="AH147" s="87">
        <f t="shared" si="79"/>
        <v>141.31468953707429</v>
      </c>
      <c r="AJ147" s="87" t="str">
        <f t="shared" si="80"/>
        <v>157499.967774377-71.2427862018694j</v>
      </c>
      <c r="AK147" s="87" t="str">
        <f t="shared" si="81"/>
        <v>30000-0.0000258477281736615j</v>
      </c>
      <c r="AL147" s="87" t="str">
        <f t="shared" si="95"/>
        <v>10000-773762.392796272j</v>
      </c>
      <c r="AM147" s="87" t="str">
        <f t="shared" si="96"/>
        <v>963.062612723344-240141.740171474j</v>
      </c>
      <c r="AN147" s="87" t="str">
        <f t="shared" si="97"/>
        <v>10963.0626127233-240141.740171474j</v>
      </c>
      <c r="AO147" s="87" t="str">
        <f t="shared" si="98"/>
        <v>29378.7830788577-3641.82027602396j</v>
      </c>
      <c r="AP147" s="87" t="str">
        <f t="shared" si="99"/>
        <v>0.160000004399908+0.000060793740548189j</v>
      </c>
      <c r="AQ147" s="87" t="str">
        <f t="shared" si="82"/>
        <v>1+3.92885468239655j</v>
      </c>
      <c r="AR147" s="87">
        <f t="shared" si="83"/>
        <v>8.8716448015066316E-8</v>
      </c>
      <c r="AS147" s="87" t="str">
        <f t="shared" si="84"/>
        <v>0.000218665462015623j</v>
      </c>
      <c r="AT147" s="87" t="str">
        <f t="shared" si="85"/>
        <v>8.87164480150663E-08+0.000218665462015623j</v>
      </c>
      <c r="AU147" s="87" t="str">
        <f t="shared" si="86"/>
        <v>5.39078240856075-1.36977164190333j</v>
      </c>
      <c r="AW147" s="87" t="str">
        <f t="shared" si="100"/>
        <v>0.857910354103113-0.235969370348898j</v>
      </c>
      <c r="AX147" s="87">
        <f t="shared" si="87"/>
        <v>-1.0144389747398987</v>
      </c>
      <c r="AY147" s="87">
        <f t="shared" si="88"/>
        <v>164.62101541227716</v>
      </c>
      <c r="AZ147" s="87" t="str">
        <f t="shared" si="89"/>
        <v>8.32021362193547-3.34554070504003j</v>
      </c>
      <c r="BA147" s="87">
        <f t="shared" si="90"/>
        <v>19.053564937870259</v>
      </c>
      <c r="BB147" s="87">
        <f t="shared" si="91"/>
        <v>158.0950424799147</v>
      </c>
      <c r="BD147" s="87" t="str">
        <f t="shared" si="92"/>
        <v>1.81647954736928-2.50607868328557j</v>
      </c>
      <c r="BE147" s="87">
        <f t="shared" si="93"/>
        <v>9.8136679259496784</v>
      </c>
      <c r="BF147" s="87">
        <f t="shared" si="94"/>
        <v>125.93570494935149</v>
      </c>
      <c r="BH147" s="87">
        <f t="shared" si="101"/>
        <v>-8.8136679259496784</v>
      </c>
      <c r="BI147" s="107">
        <f t="shared" si="102"/>
        <v>-125.93570494935149</v>
      </c>
      <c r="BJ147" s="91"/>
      <c r="BK147" s="91"/>
      <c r="BL147" s="91"/>
      <c r="BM147" s="91"/>
      <c r="BN147" s="42"/>
      <c r="BO147" s="42"/>
      <c r="BP147" s="42"/>
    </row>
    <row r="148" spans="1:68" s="87" customFormat="1">
      <c r="A148" s="87">
        <v>84</v>
      </c>
      <c r="B148" s="87">
        <f t="shared" si="52"/>
        <v>4786.3009232263857</v>
      </c>
      <c r="C148" s="87" t="str">
        <f t="shared" si="53"/>
        <v>30073.2156365561j</v>
      </c>
      <c r="D148" s="87">
        <f t="shared" si="54"/>
        <v>0.99954748293278661</v>
      </c>
      <c r="E148" s="87" t="str">
        <f t="shared" si="55"/>
        <v>-0.0334146840406179j</v>
      </c>
      <c r="F148" s="87" t="str">
        <f t="shared" si="56"/>
        <v>0.999547482932787-0.0334146840406179j</v>
      </c>
      <c r="G148" s="87">
        <f t="shared" si="57"/>
        <v>9.193551182057559E-4</v>
      </c>
      <c r="H148" s="87">
        <f t="shared" si="58"/>
        <v>-1.9146740776088016</v>
      </c>
      <c r="J148" s="87">
        <f t="shared" si="59"/>
        <v>14.187192118226601</v>
      </c>
      <c r="K148" s="87" t="str">
        <f t="shared" si="60"/>
        <v>1+1.50591627300055j</v>
      </c>
      <c r="L148" s="87">
        <f t="shared" si="61"/>
        <v>0.87417592082749263</v>
      </c>
      <c r="M148" s="87" t="str">
        <f t="shared" si="62"/>
        <v>0.108063582000423j</v>
      </c>
      <c r="N148" s="87" t="str">
        <f t="shared" si="63"/>
        <v>0.874175920827493+0.108063582000423j</v>
      </c>
      <c r="O148" s="87" t="str">
        <f t="shared" si="64"/>
        <v>1.33646394847819+1.55745904122454j</v>
      </c>
      <c r="P148" s="87" t="str">
        <f t="shared" si="65"/>
        <v>18.9606707961438+22.0959706341216j</v>
      </c>
      <c r="R148" s="87">
        <f t="shared" si="66"/>
        <v>23.645320197044338</v>
      </c>
      <c r="S148" s="87" t="str">
        <f t="shared" si="67"/>
        <v>1+0.00225549117274171j</v>
      </c>
      <c r="T148" s="87" t="str">
        <f t="shared" si="68"/>
        <v>0.874175920827493+0.108063582000423j</v>
      </c>
      <c r="U148" s="87" t="str">
        <f t="shared" si="69"/>
        <v>1.1270309290189-0.136740792321474j</v>
      </c>
      <c r="V148" s="87" t="str">
        <f t="shared" si="70"/>
        <v>26.6490071886242-3.23327981843879j</v>
      </c>
      <c r="X148" s="87" t="str">
        <f t="shared" si="71"/>
        <v>1.49601072390324+1.62988041300091j</v>
      </c>
      <c r="Y148" s="87">
        <f t="shared" si="72"/>
        <v>6.8971350110946439</v>
      </c>
      <c r="Z148" s="87">
        <f t="shared" si="73"/>
        <v>-132.54774437446687</v>
      </c>
      <c r="AB148" s="87" t="str">
        <f t="shared" si="74"/>
        <v>10.1235014862473-1.22826763547841j</v>
      </c>
      <c r="AC148" s="87">
        <f t="shared" si="75"/>
        <v>20.170079645951159</v>
      </c>
      <c r="AD148" s="87">
        <f t="shared" si="76"/>
        <v>173.08221051493931</v>
      </c>
      <c r="AF148" s="87" t="str">
        <f t="shared" si="77"/>
        <v>2.61815453323076-2.20173189753243j</v>
      </c>
      <c r="AG148" s="87">
        <f t="shared" si="78"/>
        <v>10.68273324616511</v>
      </c>
      <c r="AH148" s="87">
        <f t="shared" si="79"/>
        <v>139.93790865988939</v>
      </c>
      <c r="AJ148" s="87" t="str">
        <f t="shared" si="80"/>
        <v>157499.964665308-74.6003538020439j</v>
      </c>
      <c r="AK148" s="87" t="str">
        <f t="shared" si="81"/>
        <v>30000-0.0000270658940729005j</v>
      </c>
      <c r="AL148" s="87" t="str">
        <f t="shared" si="95"/>
        <v>10000-738937.348462651j</v>
      </c>
      <c r="AM148" s="87" t="str">
        <f t="shared" si="96"/>
        <v>963.055232073015-229334.37226458j</v>
      </c>
      <c r="AN148" s="87" t="str">
        <f t="shared" si="97"/>
        <v>10963.055232073-229334.37226458j</v>
      </c>
      <c r="AO148" s="87" t="str">
        <f t="shared" si="98"/>
        <v>29320.7068761144-3803.06744139295j</v>
      </c>
      <c r="AP148" s="87" t="str">
        <f t="shared" si="99"/>
        <v>0.160000004824403+0.0000636588612386377j</v>
      </c>
      <c r="AQ148" s="87" t="str">
        <f t="shared" si="82"/>
        <v>1+4.11401589908087j</v>
      </c>
      <c r="AR148" s="87">
        <f t="shared" si="83"/>
        <v>8.7627831273472069E-8</v>
      </c>
      <c r="AS148" s="87" t="str">
        <f t="shared" si="84"/>
        <v>0.000228970847749298j</v>
      </c>
      <c r="AT148" s="87" t="str">
        <f t="shared" si="85"/>
        <v>8.76278312734721E-08+0.000228970847749298j</v>
      </c>
      <c r="AU148" s="87" t="str">
        <f t="shared" si="86"/>
        <v>5.39072729990745-1.30814741353309j</v>
      </c>
      <c r="AW148" s="87" t="str">
        <f t="shared" si="100"/>
        <v>0.857870396747667-0.226900726644916j</v>
      </c>
      <c r="AX148" s="87">
        <f t="shared" si="87"/>
        <v>-1.0379049347801954</v>
      </c>
      <c r="AY148" s="87">
        <f t="shared" si="88"/>
        <v>165.18491846486441</v>
      </c>
      <c r="AZ148" s="87" t="str">
        <f t="shared" si="89"/>
        <v>8.40595741747811-3.35072428718059j</v>
      </c>
      <c r="BA148" s="87">
        <f t="shared" si="90"/>
        <v>19.132174711170993</v>
      </c>
      <c r="BB148" s="87">
        <f t="shared" si="91"/>
        <v>158.26712897980372</v>
      </c>
      <c r="BD148" s="87" t="str">
        <f t="shared" si="92"/>
        <v>1.74646270074199-2.48286178252689j</v>
      </c>
      <c r="BE148" s="87">
        <f t="shared" si="93"/>
        <v>9.6448283113849627</v>
      </c>
      <c r="BF148" s="87">
        <f t="shared" si="94"/>
        <v>125.12282712475385</v>
      </c>
      <c r="BH148" s="87">
        <f t="shared" si="101"/>
        <v>-8.6448283113849627</v>
      </c>
      <c r="BI148" s="107">
        <f t="shared" si="102"/>
        <v>-125.12282712475385</v>
      </c>
      <c r="BJ148" s="91"/>
      <c r="BK148" s="91"/>
      <c r="BL148" s="91"/>
      <c r="BM148" s="91"/>
      <c r="BN148" s="42"/>
      <c r="BO148" s="42"/>
      <c r="BP148" s="42"/>
    </row>
    <row r="149" spans="1:68" s="87" customFormat="1">
      <c r="A149" s="87">
        <v>85</v>
      </c>
      <c r="B149" s="87">
        <f t="shared" si="52"/>
        <v>5011.8723362727242</v>
      </c>
      <c r="C149" s="87" t="str">
        <f t="shared" si="53"/>
        <v>31490.5226247286j</v>
      </c>
      <c r="D149" s="87">
        <f t="shared" si="54"/>
        <v>0.99950382490241785</v>
      </c>
      <c r="E149" s="87" t="str">
        <f t="shared" si="55"/>
        <v>-0.0349894695830318j</v>
      </c>
      <c r="F149" s="87" t="str">
        <f t="shared" si="56"/>
        <v>0.999503824902418-0.0349894695830318j</v>
      </c>
      <c r="G149" s="87">
        <f t="shared" si="57"/>
        <v>1.0081366037087188E-3</v>
      </c>
      <c r="H149" s="87">
        <f t="shared" si="58"/>
        <v>-2.0049254044241449</v>
      </c>
      <c r="J149" s="87">
        <f t="shared" si="59"/>
        <v>14.187192118226601</v>
      </c>
      <c r="K149" s="87" t="str">
        <f t="shared" si="60"/>
        <v>1+1.57688792043328j</v>
      </c>
      <c r="L149" s="87">
        <f t="shared" si="61"/>
        <v>0.86203664063755181</v>
      </c>
      <c r="M149" s="87" t="str">
        <f t="shared" si="62"/>
        <v>0.113156461717282j</v>
      </c>
      <c r="N149" s="87" t="str">
        <f t="shared" si="63"/>
        <v>0.862036640637552+0.113156461717282j</v>
      </c>
      <c r="O149" s="87" t="str">
        <f t="shared" si="64"/>
        <v>1.37644634728162+1.64857739803283j</v>
      </c>
      <c r="P149" s="87" t="str">
        <f t="shared" si="65"/>
        <v>19.5279087693156+23.3886842676579j</v>
      </c>
      <c r="R149" s="87">
        <f t="shared" si="66"/>
        <v>23.645320197044338</v>
      </c>
      <c r="S149" s="87" t="str">
        <f t="shared" si="67"/>
        <v>1+0.00236178919685464j</v>
      </c>
      <c r="T149" s="87" t="str">
        <f t="shared" si="68"/>
        <v>0.862036640637552+0.113156461717282j</v>
      </c>
      <c r="U149" s="87" t="str">
        <f t="shared" si="69"/>
        <v>1.14074707161793-0.147002003358071j</v>
      </c>
      <c r="V149" s="87" t="str">
        <f t="shared" si="70"/>
        <v>26.9733297722466-3.47590943900858j</v>
      </c>
      <c r="X149" s="87" t="str">
        <f t="shared" si="71"/>
        <v>1.54510348312934+1.72419782521422j</v>
      </c>
      <c r="Y149" s="87">
        <f t="shared" si="72"/>
        <v>7.2918123051086683</v>
      </c>
      <c r="Z149" s="87">
        <f t="shared" si="73"/>
        <v>-131.86443587527953</v>
      </c>
      <c r="AB149" s="87" t="str">
        <f t="shared" si="74"/>
        <v>10.246706081979-1.3204384734785j</v>
      </c>
      <c r="AC149" s="87">
        <f t="shared" si="75"/>
        <v>20.283212715024593</v>
      </c>
      <c r="AD149" s="87">
        <f t="shared" si="76"/>
        <v>172.65706526351113</v>
      </c>
      <c r="AF149" s="87" t="str">
        <f t="shared" si="77"/>
        <v>2.51864527539036-2.22508877039042j</v>
      </c>
      <c r="AG149" s="87">
        <f t="shared" si="78"/>
        <v>10.528706264961832</v>
      </c>
      <c r="AH149" s="87">
        <f t="shared" si="79"/>
        <v>138.54111921811878</v>
      </c>
      <c r="AJ149" s="87" t="str">
        <f t="shared" si="80"/>
        <v>157499.961256281-78.116158470023j</v>
      </c>
      <c r="AK149" s="87" t="str">
        <f t="shared" si="81"/>
        <v>30000-0.0000283414703622557j</v>
      </c>
      <c r="AL149" s="87" t="str">
        <f t="shared" si="95"/>
        <v>10000-705679.689316166j</v>
      </c>
      <c r="AM149" s="87" t="str">
        <f t="shared" si="96"/>
        <v>963.047139480896-219013.453295349j</v>
      </c>
      <c r="AN149" s="87" t="str">
        <f t="shared" si="97"/>
        <v>10963.0471394809-219013.453295349j</v>
      </c>
      <c r="AO149" s="87" t="str">
        <f t="shared" si="98"/>
        <v>29257.3905969018-3970.44313500065j</v>
      </c>
      <c r="AP149" s="87" t="str">
        <f t="shared" si="99"/>
        <v>0.160000005289853+0.0000666590109024519j</v>
      </c>
      <c r="AQ149" s="87" t="str">
        <f t="shared" si="82"/>
        <v>1+4.30790349506287j</v>
      </c>
      <c r="AR149" s="87">
        <f t="shared" si="83"/>
        <v>8.6434186752357512E-8</v>
      </c>
      <c r="AS149" s="87" t="str">
        <f t="shared" si="84"/>
        <v>0.000239761911349706j</v>
      </c>
      <c r="AT149" s="87" t="str">
        <f t="shared" si="85"/>
        <v>8.64341867523575E-08+0.000239761911349706j</v>
      </c>
      <c r="AU149" s="87" t="str">
        <f t="shared" si="86"/>
        <v>5.39067703996113-1.24929793697348j</v>
      </c>
      <c r="AW149" s="87" t="str">
        <f t="shared" si="100"/>
        <v>0.857828213402407-0.218313248578389j</v>
      </c>
      <c r="AX149" s="87">
        <f t="shared" si="87"/>
        <v>-1.0594441582948886</v>
      </c>
      <c r="AY149" s="87">
        <f t="shared" si="88"/>
        <v>165.72160307325248</v>
      </c>
      <c r="AZ149" s="87" t="str">
        <f t="shared" si="89"/>
        <v>8.50164435887065-3.36970106859664j</v>
      </c>
      <c r="BA149" s="87">
        <f t="shared" si="90"/>
        <v>19.223768556729713</v>
      </c>
      <c r="BB149" s="87">
        <f t="shared" si="91"/>
        <v>158.37866833676358</v>
      </c>
      <c r="BD149" s="87" t="str">
        <f t="shared" si="92"/>
        <v>1.6747986189433-2.45859755665285j</v>
      </c>
      <c r="BE149" s="87">
        <f t="shared" si="93"/>
        <v>9.4692621066669318</v>
      </c>
      <c r="BF149" s="87">
        <f t="shared" si="94"/>
        <v>124.2627222913713</v>
      </c>
      <c r="BH149" s="87">
        <f t="shared" si="101"/>
        <v>-8.4692621066669318</v>
      </c>
      <c r="BI149" s="107">
        <f t="shared" si="102"/>
        <v>-124.2627222913713</v>
      </c>
      <c r="BJ149" s="91"/>
      <c r="BK149" s="91"/>
      <c r="BL149" s="91"/>
      <c r="BM149" s="91"/>
      <c r="BN149" s="42"/>
      <c r="BO149" s="42"/>
      <c r="BP149" s="42"/>
    </row>
    <row r="150" spans="1:68" s="87" customFormat="1">
      <c r="A150" s="87">
        <v>86</v>
      </c>
      <c r="B150" s="87">
        <f t="shared" si="52"/>
        <v>5248.0746024977288</v>
      </c>
      <c r="C150" s="87" t="str">
        <f t="shared" si="53"/>
        <v>32974.6252333961j</v>
      </c>
      <c r="D150" s="87">
        <f t="shared" si="54"/>
        <v>0.99945595482403193</v>
      </c>
      <c r="E150" s="87" t="str">
        <f t="shared" si="55"/>
        <v>-0.0366384724815512j</v>
      </c>
      <c r="F150" s="87" t="str">
        <f t="shared" si="56"/>
        <v>0.999455954824032-0.0366384724815512j</v>
      </c>
      <c r="G150" s="87">
        <f t="shared" si="57"/>
        <v>1.105500504386843E-3</v>
      </c>
      <c r="H150" s="87">
        <f t="shared" si="58"/>
        <v>-2.0994324419153729</v>
      </c>
      <c r="J150" s="87">
        <f t="shared" si="59"/>
        <v>14.187192118226601</v>
      </c>
      <c r="K150" s="87" t="str">
        <f t="shared" si="60"/>
        <v>1+1.65120435856231j</v>
      </c>
      <c r="L150" s="87">
        <f t="shared" si="61"/>
        <v>0.84872618459240889</v>
      </c>
      <c r="M150" s="87" t="str">
        <f t="shared" si="62"/>
        <v>0.118489361460595j</v>
      </c>
      <c r="N150" s="87" t="str">
        <f t="shared" si="63"/>
        <v>0.848726184592409+0.118489361460595j</v>
      </c>
      <c r="O150" s="87" t="str">
        <f t="shared" si="64"/>
        <v>1.4221278015532+1.74696783292124j</v>
      </c>
      <c r="P150" s="87" t="str">
        <f t="shared" si="65"/>
        <v>20.1760003373065+24.7845682700156j</v>
      </c>
      <c r="R150" s="87">
        <f t="shared" si="66"/>
        <v>23.645320197044338</v>
      </c>
      <c r="S150" s="87" t="str">
        <f t="shared" si="67"/>
        <v>1+0.00247309689250471j</v>
      </c>
      <c r="T150" s="87" t="str">
        <f t="shared" si="68"/>
        <v>0.848726184592409+0.118489361460595j</v>
      </c>
      <c r="U150" s="87" t="str">
        <f t="shared" si="69"/>
        <v>1.15610991660505-0.158488840507363j</v>
      </c>
      <c r="V150" s="87" t="str">
        <f t="shared" si="70"/>
        <v>27.3365891611046-3.74751938145489j</v>
      </c>
      <c r="X150" s="87" t="str">
        <f t="shared" si="71"/>
        <v>1.60106138861802+1.82585891196748j</v>
      </c>
      <c r="Y150" s="87">
        <f t="shared" si="72"/>
        <v>7.7064278858161694</v>
      </c>
      <c r="Z150" s="87">
        <f t="shared" si="73"/>
        <v>-131.24691517210579</v>
      </c>
      <c r="AB150" s="87" t="str">
        <f t="shared" si="74"/>
        <v>10.3847021032554-1.42361843949271j</v>
      </c>
      <c r="AC150" s="87">
        <f t="shared" si="75"/>
        <v>20.408740934956484</v>
      </c>
      <c r="AD150" s="87">
        <f t="shared" si="76"/>
        <v>172.19409046794604</v>
      </c>
      <c r="AF150" s="87" t="str">
        <f t="shared" si="77"/>
        <v>2.41719395500367-2.24411218809849j</v>
      </c>
      <c r="AG150" s="87">
        <f t="shared" si="78"/>
        <v>10.365836325282618</v>
      </c>
      <c r="AH150" s="87">
        <f t="shared" si="79"/>
        <v>137.12650715828494</v>
      </c>
      <c r="AJ150" s="87" t="str">
        <f t="shared" si="80"/>
        <v>157499.957518358-81.7976576567378j</v>
      </c>
      <c r="AK150" s="87" t="str">
        <f t="shared" si="81"/>
        <v>30000-0.0000296771627100565j</v>
      </c>
      <c r="AL150" s="87" t="str">
        <f t="shared" si="95"/>
        <v>10000-673918.871402852j</v>
      </c>
      <c r="AM150" s="87" t="str">
        <f t="shared" si="96"/>
        <v>963.038266286388-209157.091208928j</v>
      </c>
      <c r="AN150" s="87" t="str">
        <f t="shared" si="97"/>
        <v>10963.0382662864-209157.091208928j</v>
      </c>
      <c r="AO150" s="87" t="str">
        <f t="shared" si="98"/>
        <v>29188.3982100369-4144.03511683549j</v>
      </c>
      <c r="AP150" s="87" t="str">
        <f t="shared" si="99"/>
        <v>0.160000005800209+0.0000698005532583848j</v>
      </c>
      <c r="AQ150" s="87" t="str">
        <f t="shared" si="82"/>
        <v>1+4.51092873192859j</v>
      </c>
      <c r="AR150" s="87">
        <f t="shared" si="83"/>
        <v>8.5125381561009649E-8</v>
      </c>
      <c r="AS150" s="87" t="str">
        <f t="shared" si="84"/>
        <v>0.000251061542109527j</v>
      </c>
      <c r="AT150" s="87" t="str">
        <f t="shared" si="85"/>
        <v>8.51253815610096E-08+0.000251061542109527j</v>
      </c>
      <c r="AU150" s="87" t="str">
        <f t="shared" si="86"/>
        <v>5.39063120206371-1.19309838514173j</v>
      </c>
      <c r="AW150" s="87" t="str">
        <f t="shared" si="100"/>
        <v>0.857783446705674-0.21018870320127j</v>
      </c>
      <c r="AX150" s="87">
        <f t="shared" si="87"/>
        <v>-1.0792113665185725</v>
      </c>
      <c r="AY150" s="87">
        <f t="shared" si="88"/>
        <v>166.23169812297624</v>
      </c>
      <c r="AZ150" s="87" t="str">
        <f t="shared" si="89"/>
        <v>8.60859704949172-3.40390340003657j</v>
      </c>
      <c r="BA150" s="87">
        <f t="shared" si="90"/>
        <v>19.329529568437941</v>
      </c>
      <c r="BB150" s="87">
        <f t="shared" si="91"/>
        <v>158.42578859092231</v>
      </c>
      <c r="BD150" s="87" t="str">
        <f t="shared" si="92"/>
        <v>1.60174193142459-2.43302915028951j</v>
      </c>
      <c r="BE150" s="87">
        <f t="shared" si="93"/>
        <v>9.2866249587640723</v>
      </c>
      <c r="BF150" s="87">
        <f t="shared" si="94"/>
        <v>123.35820528126126</v>
      </c>
      <c r="BH150" s="87">
        <f t="shared" si="101"/>
        <v>-8.2866249587640723</v>
      </c>
      <c r="BI150" s="107">
        <f t="shared" si="102"/>
        <v>-123.35820528126126</v>
      </c>
      <c r="BJ150" s="91"/>
      <c r="BK150" s="91"/>
      <c r="BL150" s="91"/>
      <c r="BM150" s="91"/>
      <c r="BN150" s="42"/>
      <c r="BO150" s="42"/>
      <c r="BP150" s="42"/>
    </row>
    <row r="151" spans="1:68" s="87" customFormat="1">
      <c r="A151" s="87">
        <v>87</v>
      </c>
      <c r="B151" s="87">
        <f t="shared" si="52"/>
        <v>5495.4087385762468</v>
      </c>
      <c r="C151" s="87" t="str">
        <f t="shared" si="53"/>
        <v>34528.6714431686j</v>
      </c>
      <c r="D151" s="87">
        <f t="shared" si="54"/>
        <v>0.99940346632683419</v>
      </c>
      <c r="E151" s="87" t="str">
        <f t="shared" si="55"/>
        <v>-0.0383651904924096j</v>
      </c>
      <c r="F151" s="87" t="str">
        <f t="shared" si="56"/>
        <v>0.999403466326834-0.0383651904924096j</v>
      </c>
      <c r="G151" s="87">
        <f t="shared" si="57"/>
        <v>1.2122782606136765E-3</v>
      </c>
      <c r="H151" s="87">
        <f t="shared" si="58"/>
        <v>-2.1983960952147008</v>
      </c>
      <c r="J151" s="87">
        <f t="shared" si="59"/>
        <v>14.187192118226601</v>
      </c>
      <c r="K151" s="87" t="str">
        <f t="shared" si="60"/>
        <v>1+1.72902322251667j</v>
      </c>
      <c r="L151" s="87">
        <f t="shared" si="61"/>
        <v>0.83413155975818654</v>
      </c>
      <c r="M151" s="87" t="str">
        <f t="shared" si="62"/>
        <v>0.124073593025711j</v>
      </c>
      <c r="N151" s="87" t="str">
        <f t="shared" si="63"/>
        <v>0.834131559758187+0.124073593025711j</v>
      </c>
      <c r="O151" s="87" t="str">
        <f t="shared" si="64"/>
        <v>1.47455334583012+1.85350868541606j</v>
      </c>
      <c r="P151" s="87" t="str">
        <f t="shared" si="65"/>
        <v>20.9197716058657+26.2960838127993j</v>
      </c>
      <c r="R151" s="87">
        <f t="shared" si="66"/>
        <v>23.645320197044338</v>
      </c>
      <c r="S151" s="87" t="str">
        <f t="shared" si="67"/>
        <v>1+0.00258965035823764j</v>
      </c>
      <c r="T151" s="87" t="str">
        <f t="shared" si="68"/>
        <v>0.834131559758187+0.124073593025711j</v>
      </c>
      <c r="U151" s="87" t="str">
        <f t="shared" si="69"/>
        <v>1.17335264540932-0.17142670909775j</v>
      </c>
      <c r="V151" s="87" t="str">
        <f t="shared" si="70"/>
        <v>27.7442990047524-4.05343942694187j</v>
      </c>
      <c r="X151" s="87" t="str">
        <f t="shared" si="71"/>
        <v>1.6651137531798+1.93571646421014j</v>
      </c>
      <c r="Y151" s="87">
        <f t="shared" si="72"/>
        <v>8.1422108702934786</v>
      </c>
      <c r="Z151" s="87">
        <f t="shared" si="73"/>
        <v>-130.70229540657738</v>
      </c>
      <c r="AB151" s="87" t="str">
        <f t="shared" si="74"/>
        <v>10.5395840911251-1.53983222611672j</v>
      </c>
      <c r="AC151" s="87">
        <f t="shared" si="75"/>
        <v>20.548194910592969</v>
      </c>
      <c r="AD151" s="87">
        <f t="shared" si="76"/>
        <v>171.68790027395522</v>
      </c>
      <c r="AF151" s="87" t="str">
        <f t="shared" si="77"/>
        <v>2.31418491991991-2.25860456036843j</v>
      </c>
      <c r="AG151" s="87">
        <f t="shared" si="78"/>
        <v>10.19396575666542</v>
      </c>
      <c r="AH151" s="87">
        <f t="shared" si="79"/>
        <v>135.69637214509416</v>
      </c>
      <c r="AJ151" s="87" t="str">
        <f t="shared" si="80"/>
        <v>157499.953419807-85.6526602671633j</v>
      </c>
      <c r="AK151" s="87" t="str">
        <f t="shared" si="81"/>
        <v>30000-0.0000310758042988518j</v>
      </c>
      <c r="AL151" s="87" t="str">
        <f t="shared" si="95"/>
        <v>10000-643587.525769654j</v>
      </c>
      <c r="AM151" s="87" t="str">
        <f t="shared" si="96"/>
        <v>963.028537210028-199744.379337602j</v>
      </c>
      <c r="AN151" s="87" t="str">
        <f t="shared" si="97"/>
        <v>10963.02853721-199744.379337602j</v>
      </c>
      <c r="AO151" s="87" t="str">
        <f t="shared" si="98"/>
        <v>29113.2645008852-4323.90957573776j</v>
      </c>
      <c r="AP151" s="87" t="str">
        <f t="shared" si="99"/>
        <v>0.160000006359802+0.0000730901519379098j</v>
      </c>
      <c r="AQ151" s="87" t="str">
        <f t="shared" si="82"/>
        <v>1+4.72352225342546j</v>
      </c>
      <c r="AR151" s="87">
        <f t="shared" si="83"/>
        <v>8.3690305205697635E-8</v>
      </c>
      <c r="AS151" s="87" t="str">
        <f t="shared" si="84"/>
        <v>0.000262893708060568j</v>
      </c>
      <c r="AT151" s="87" t="str">
        <f t="shared" si="85"/>
        <v>8.36903052056976E-08+0.000262893708060568j</v>
      </c>
      <c r="AU151" s="87" t="str">
        <f t="shared" si="86"/>
        <v>5.39058939709614-1.13942955173011j</v>
      </c>
      <c r="AW151" s="87" t="str">
        <f t="shared" si="100"/>
        <v>0.857735717514013-0.202509836857154j</v>
      </c>
      <c r="AX151" s="87">
        <f t="shared" si="87"/>
        <v>-1.0973506733631839</v>
      </c>
      <c r="AY151" s="87">
        <f t="shared" si="88"/>
        <v>166.71583560672548</v>
      </c>
      <c r="AZ151" s="87" t="str">
        <f t="shared" si="89"/>
        <v>8.72834654980215-3.45513855415541j</v>
      </c>
      <c r="BA151" s="87">
        <f t="shared" si="90"/>
        <v>19.450844237229756</v>
      </c>
      <c r="BB151" s="87">
        <f t="shared" si="91"/>
        <v>158.4037358806807</v>
      </c>
      <c r="BD151" s="87" t="str">
        <f t="shared" si="92"/>
        <v>1.52756942170257-2.40593101375829j</v>
      </c>
      <c r="BE151" s="87">
        <f t="shared" si="93"/>
        <v>9.0966150833021882</v>
      </c>
      <c r="BF151" s="87">
        <f t="shared" si="94"/>
        <v>122.41220775181966</v>
      </c>
      <c r="BH151" s="87">
        <f t="shared" si="101"/>
        <v>-8.0966150833021882</v>
      </c>
      <c r="BI151" s="107">
        <f t="shared" si="102"/>
        <v>-122.41220775181966</v>
      </c>
      <c r="BJ151" s="91"/>
      <c r="BK151" s="91"/>
      <c r="BL151" s="91"/>
      <c r="BM151" s="91"/>
      <c r="BN151" s="42"/>
      <c r="BO151" s="42"/>
      <c r="BP151" s="42"/>
    </row>
    <row r="152" spans="1:68" s="87" customFormat="1">
      <c r="A152" s="87">
        <v>88</v>
      </c>
      <c r="B152" s="87">
        <f t="shared" si="52"/>
        <v>5754.3993733715697</v>
      </c>
      <c r="C152" s="87" t="str">
        <f t="shared" si="53"/>
        <v>36155.9575944117j</v>
      </c>
      <c r="D152" s="87">
        <f t="shared" si="54"/>
        <v>0.99934591383410842</v>
      </c>
      <c r="E152" s="87" t="str">
        <f t="shared" si="55"/>
        <v>-0.040173286216013j</v>
      </c>
      <c r="F152" s="87" t="str">
        <f t="shared" si="56"/>
        <v>0.999345913834108-0.040173286216013j</v>
      </c>
      <c r="G152" s="87">
        <f t="shared" si="57"/>
        <v>1.3293822208263134E-3</v>
      </c>
      <c r="H152" s="87">
        <f t="shared" si="58"/>
        <v>-2.3020267879904117</v>
      </c>
      <c r="J152" s="87">
        <f t="shared" si="59"/>
        <v>14.187192118226601</v>
      </c>
      <c r="K152" s="87" t="str">
        <f t="shared" si="60"/>
        <v>1+1.81050957654017j</v>
      </c>
      <c r="L152" s="87">
        <f t="shared" si="61"/>
        <v>0.81812887184657268</v>
      </c>
      <c r="M152" s="87" t="str">
        <f t="shared" si="62"/>
        <v>0.129921001316471j</v>
      </c>
      <c r="N152" s="87" t="str">
        <f t="shared" si="63"/>
        <v>0.818128871846573+0.129921001316471j</v>
      </c>
      <c r="O152" s="87" t="str">
        <f t="shared" si="64"/>
        <v>1.53501910702203+1.96922320254954j</v>
      </c>
      <c r="P152" s="87" t="str">
        <f t="shared" si="65"/>
        <v>21.7776109764702+27.9377478982398j</v>
      </c>
      <c r="R152" s="87">
        <f t="shared" si="66"/>
        <v>23.645320197044338</v>
      </c>
      <c r="S152" s="87" t="str">
        <f t="shared" si="67"/>
        <v>1+0.00271169681958088j</v>
      </c>
      <c r="T152" s="87" t="str">
        <f t="shared" si="68"/>
        <v>0.818128871846573+0.129921001316471j</v>
      </c>
      <c r="U152" s="87" t="str">
        <f t="shared" si="69"/>
        <v>1.19274861701563-0.186097084531785j</v>
      </c>
      <c r="V152" s="87" t="str">
        <f t="shared" si="70"/>
        <v>28.2029229639164-4.40032515149048j</v>
      </c>
      <c r="X152" s="87" t="str">
        <f t="shared" si="71"/>
        <v>1.73877844947514+2.05475578068208j</v>
      </c>
      <c r="Y152" s="87">
        <f t="shared" si="72"/>
        <v>8.6006067730037863</v>
      </c>
      <c r="Z152" s="87">
        <f t="shared" si="73"/>
        <v>-130.23861604195358</v>
      </c>
      <c r="AB152" s="87" t="str">
        <f t="shared" si="74"/>
        <v>10.7138074796124-1.67160817270901j</v>
      </c>
      <c r="AC152" s="87">
        <f t="shared" si="75"/>
        <v>20.703332512022339</v>
      </c>
      <c r="AD152" s="87">
        <f t="shared" si="76"/>
        <v>171.1319968046777</v>
      </c>
      <c r="AF152" s="87" t="str">
        <f t="shared" si="77"/>
        <v>2.21002781080805-2.26841115739961j</v>
      </c>
      <c r="AG152" s="87">
        <f t="shared" si="78"/>
        <v>10.012971271274862</v>
      </c>
      <c r="AH152" s="87">
        <f t="shared" si="79"/>
        <v>134.25310361621939</v>
      </c>
      <c r="AJ152" s="87" t="str">
        <f t="shared" si="80"/>
        <v>157499.948925836-89.6893432231311j</v>
      </c>
      <c r="AK152" s="87" t="str">
        <f t="shared" si="81"/>
        <v>30000-0.0000325403618349705j</v>
      </c>
      <c r="AL152" s="87" t="str">
        <f t="shared" si="95"/>
        <v>10000-614621.315565899j</v>
      </c>
      <c r="AM152" s="87" t="str">
        <f t="shared" si="96"/>
        <v>963.017869715858-190755.352054912j</v>
      </c>
      <c r="AN152" s="87" t="str">
        <f t="shared" si="97"/>
        <v>10963.0178697159-190755.352054912j</v>
      </c>
      <c r="AO152" s="87" t="str">
        <f t="shared" si="98"/>
        <v>29031.4945140078-4510.10726180418j</v>
      </c>
      <c r="AP152" s="87" t="str">
        <f t="shared" si="99"/>
        <v>0.160000006973384+0.0000765347846196568j</v>
      </c>
      <c r="AQ152" s="87" t="str">
        <f t="shared" si="82"/>
        <v>1+4.94613499891552j</v>
      </c>
      <c r="AR152" s="87">
        <f t="shared" si="83"/>
        <v>8.211677527229744E-8</v>
      </c>
      <c r="AS152" s="87" t="str">
        <f t="shared" si="84"/>
        <v>0.00027528350681318j</v>
      </c>
      <c r="AT152" s="87" t="str">
        <f t="shared" si="85"/>
        <v>8.21167752722974E-08+0.00027528350681318j</v>
      </c>
      <c r="AU152" s="87" t="str">
        <f t="shared" si="86"/>
        <v>5.3905512701748-1.08817759836243j</v>
      </c>
      <c r="AW152" s="87" t="str">
        <f t="shared" si="100"/>
        <v>0.857684621713542-0.195260338195453j</v>
      </c>
      <c r="AX152" s="87">
        <f t="shared" si="87"/>
        <v>-1.1139961300388419</v>
      </c>
      <c r="AY152" s="87">
        <f t="shared" si="88"/>
        <v>167.17464551452417</v>
      </c>
      <c r="AZ152" s="87" t="str">
        <f t="shared" si="89"/>
        <v>8.86266913812963-3.52569429509328j</v>
      </c>
      <c r="BA152" s="87">
        <f t="shared" si="90"/>
        <v>19.589336381983493</v>
      </c>
      <c r="BB152" s="87">
        <f t="shared" si="91"/>
        <v>158.3066423192019</v>
      </c>
      <c r="BD152" s="87" t="str">
        <f t="shared" si="92"/>
        <v>1.45257613712912-2.3771121431848j</v>
      </c>
      <c r="BE152" s="87">
        <f t="shared" si="93"/>
        <v>8.8989751412360167</v>
      </c>
      <c r="BF152" s="87">
        <f t="shared" si="94"/>
        <v>121.42774913074349</v>
      </c>
      <c r="BH152" s="87">
        <f t="shared" si="101"/>
        <v>-7.8989751412360167</v>
      </c>
      <c r="BI152" s="107">
        <f t="shared" si="102"/>
        <v>-121.42774913074349</v>
      </c>
      <c r="BJ152" s="91"/>
      <c r="BK152" s="91"/>
      <c r="BL152" s="91"/>
      <c r="BM152" s="91"/>
      <c r="BN152" s="42"/>
      <c r="BO152" s="42"/>
      <c r="BP152" s="42"/>
    </row>
    <row r="153" spans="1:68" s="87" customFormat="1">
      <c r="A153" s="87">
        <v>89</v>
      </c>
      <c r="B153" s="87">
        <f t="shared" si="52"/>
        <v>6025.5958607435823</v>
      </c>
      <c r="C153" s="87" t="str">
        <f t="shared" si="53"/>
        <v>37859.9353792262j</v>
      </c>
      <c r="D153" s="87">
        <f t="shared" si="54"/>
        <v>0.99928280878070108</v>
      </c>
      <c r="E153" s="87" t="str">
        <f t="shared" si="55"/>
        <v>-0.0420665948658069j</v>
      </c>
      <c r="F153" s="87" t="str">
        <f t="shared" si="56"/>
        <v>0.999282808780701-0.0420665948658069j</v>
      </c>
      <c r="G153" s="87">
        <f t="shared" si="57"/>
        <v>1.4578135872435755E-3</v>
      </c>
      <c r="H153" s="87">
        <f t="shared" si="58"/>
        <v>-2.4105449184344945</v>
      </c>
      <c r="J153" s="87">
        <f t="shared" si="59"/>
        <v>14.187192118226601</v>
      </c>
      <c r="K153" s="87" t="str">
        <f t="shared" si="60"/>
        <v>1+1.89583626411475j</v>
      </c>
      <c r="L153" s="87">
        <f t="shared" si="61"/>
        <v>0.80058227347180522</v>
      </c>
      <c r="M153" s="87" t="str">
        <f t="shared" si="62"/>
        <v>0.136043989469835j</v>
      </c>
      <c r="N153" s="87" t="str">
        <f t="shared" si="63"/>
        <v>0.800582273471805+0.136043989469835j</v>
      </c>
      <c r="O153" s="87" t="str">
        <f t="shared" si="64"/>
        <v>1.60514905472003+2.09530667690456j</v>
      </c>
      <c r="P153" s="87" t="str">
        <f t="shared" si="65"/>
        <v>22.7725580177029+29.7265183718479j</v>
      </c>
      <c r="R153" s="87">
        <f t="shared" si="66"/>
        <v>23.645320197044338</v>
      </c>
      <c r="S153" s="87" t="str">
        <f t="shared" si="67"/>
        <v>1+0.00283949515344196j</v>
      </c>
      <c r="T153" s="87" t="str">
        <f t="shared" si="68"/>
        <v>0.800582273471805+0.136043989469835j</v>
      </c>
      <c r="U153" s="87" t="str">
        <f t="shared" si="69"/>
        <v>1.21461943185478-0.20285507614276j</v>
      </c>
      <c r="V153" s="87" t="str">
        <f t="shared" si="70"/>
        <v>28.7200653837583-4.79657322899137j</v>
      </c>
      <c r="X153" s="87" t="str">
        <f t="shared" si="71"/>
        <v>1.82394830108105+2.18411644516923j</v>
      </c>
      <c r="Y153" s="87">
        <f t="shared" si="72"/>
        <v>9.083322946822399</v>
      </c>
      <c r="Z153" s="87">
        <f t="shared" si="73"/>
        <v>-129.86514363302825</v>
      </c>
      <c r="AB153" s="87" t="str">
        <f t="shared" si="74"/>
        <v>10.9102610292255-1.82213603189377j</v>
      </c>
      <c r="AC153" s="87">
        <f t="shared" si="75"/>
        <v>20.87618084726531</v>
      </c>
      <c r="AD153" s="87">
        <f t="shared" si="76"/>
        <v>170.51847082942791</v>
      </c>
      <c r="AF153" s="87" t="str">
        <f t="shared" si="77"/>
        <v>2.10515130661527-2.27342392131754j</v>
      </c>
      <c r="AG153" s="87">
        <f t="shared" si="78"/>
        <v>9.8227658703249503</v>
      </c>
      <c r="AH153" s="87">
        <f t="shared" si="79"/>
        <v>132.79915433631467</v>
      </c>
      <c r="AJ153" s="87" t="str">
        <f t="shared" si="80"/>
        <v>157499.943998294-93.9162688066128j</v>
      </c>
      <c r="AK153" s="87" t="str">
        <f t="shared" si="81"/>
        <v>30000-0.0000340739418413037j</v>
      </c>
      <c r="AL153" s="87" t="str">
        <f t="shared" si="95"/>
        <v>10000-586958.799576176j</v>
      </c>
      <c r="AM153" s="87" t="str">
        <f t="shared" si="96"/>
        <v>963.006173312716-182170.942425828j</v>
      </c>
      <c r="AN153" s="87" t="str">
        <f t="shared" si="97"/>
        <v>10963.0061733127-182170.942425828j</v>
      </c>
      <c r="AO153" s="87" t="str">
        <f t="shared" si="98"/>
        <v>28942.56329933-4702.6392274301j</v>
      </c>
      <c r="AP153" s="87" t="str">
        <f t="shared" si="99"/>
        <v>0.160000007646164+0.0000801417578299816j</v>
      </c>
      <c r="AQ153" s="87" t="str">
        <f t="shared" si="82"/>
        <v>1+5.17923915987814j</v>
      </c>
      <c r="AR153" s="87">
        <f t="shared" si="83"/>
        <v>8.0391434009345613E-8</v>
      </c>
      <c r="AS153" s="87" t="str">
        <f t="shared" si="84"/>
        <v>0.000288257218791645j</v>
      </c>
      <c r="AT153" s="87" t="str">
        <f t="shared" si="85"/>
        <v>8.03914340093456E-08+0.000288257218791645j</v>
      </c>
      <c r="AU153" s="87" t="str">
        <f t="shared" si="86"/>
        <v>5.3905164976392-1.0392338131356j</v>
      </c>
      <c r="AW153" s="87" t="str">
        <f t="shared" si="100"/>
        <v>0.857629726825442-0.188424803126675j</v>
      </c>
      <c r="AX153" s="87">
        <f t="shared" si="87"/>
        <v>-1.1292722832357451</v>
      </c>
      <c r="AY153" s="87">
        <f t="shared" si="88"/>
        <v>167.6087513289495</v>
      </c>
      <c r="AZ153" s="87" t="str">
        <f t="shared" si="89"/>
        <v>9.01362856300935-3.61848181376431j</v>
      </c>
      <c r="BA153" s="87">
        <f t="shared" si="90"/>
        <v>19.746908564029589</v>
      </c>
      <c r="BB153" s="87">
        <f t="shared" si="91"/>
        <v>158.12722215837741</v>
      </c>
      <c r="BD153" s="87" t="str">
        <f t="shared" si="92"/>
        <v>1.37707088522095-2.34641865709884j</v>
      </c>
      <c r="BE153" s="87">
        <f t="shared" si="93"/>
        <v>8.6934935870892378</v>
      </c>
      <c r="BF153" s="87">
        <f t="shared" si="94"/>
        <v>120.40790566526417</v>
      </c>
      <c r="BH153" s="87">
        <f t="shared" si="101"/>
        <v>-7.6934935870892378</v>
      </c>
      <c r="BI153" s="107">
        <f t="shared" si="102"/>
        <v>-120.40790566526417</v>
      </c>
      <c r="BJ153" s="91"/>
      <c r="BK153" s="91"/>
      <c r="BL153" s="91"/>
      <c r="BM153" s="91"/>
      <c r="BN153" s="42"/>
      <c r="BO153" s="42"/>
      <c r="BP153" s="42"/>
    </row>
    <row r="154" spans="1:68" s="87" customFormat="1">
      <c r="A154" s="87">
        <v>90</v>
      </c>
      <c r="B154" s="87">
        <f t="shared" si="52"/>
        <v>6309.5734448019366</v>
      </c>
      <c r="C154" s="87" t="str">
        <f t="shared" si="53"/>
        <v>39644.21916295j</v>
      </c>
      <c r="D154" s="87">
        <f t="shared" si="54"/>
        <v>0.9992136154655733</v>
      </c>
      <c r="E154" s="87" t="str">
        <f t="shared" si="55"/>
        <v>-0.0440491324032778j</v>
      </c>
      <c r="F154" s="87" t="str">
        <f t="shared" si="56"/>
        <v>0.999213615465573-0.0440491324032778j</v>
      </c>
      <c r="G154" s="87">
        <f t="shared" si="57"/>
        <v>1.598671156403067E-3</v>
      </c>
      <c r="H154" s="87">
        <f t="shared" si="58"/>
        <v>-2.5241813378252282</v>
      </c>
      <c r="J154" s="87">
        <f t="shared" si="59"/>
        <v>14.187192118226601</v>
      </c>
      <c r="K154" s="87" t="str">
        <f t="shared" si="60"/>
        <v>1+1.98518427458472j</v>
      </c>
      <c r="L154" s="87">
        <f t="shared" si="61"/>
        <v>0.78134281093738989</v>
      </c>
      <c r="M154" s="87" t="str">
        <f t="shared" si="62"/>
        <v>0.1424555451646j</v>
      </c>
      <c r="N154" s="87" t="str">
        <f t="shared" si="63"/>
        <v>0.78134281093739+0.1424555451646j</v>
      </c>
      <c r="O154" s="87" t="str">
        <f t="shared" si="64"/>
        <v>1.68700047766257+2.23315768369714j</v>
      </c>
      <c r="P154" s="87" t="str">
        <f t="shared" si="65"/>
        <v>23.9337998801389+31.6822370889052j</v>
      </c>
      <c r="R154" s="87">
        <f t="shared" si="66"/>
        <v>23.645320197044338</v>
      </c>
      <c r="S154" s="87" t="str">
        <f t="shared" si="67"/>
        <v>1+0.00297331643722125j</v>
      </c>
      <c r="T154" s="87" t="str">
        <f t="shared" si="68"/>
        <v>0.78134281093739+0.1424555451646j</v>
      </c>
      <c r="U154" s="87" t="str">
        <f t="shared" si="69"/>
        <v>1.23934457581619-0.222153692755193j</v>
      </c>
      <c r="V154" s="87" t="str">
        <f t="shared" si="70"/>
        <v>29.3046993296439-5.25289519815235j</v>
      </c>
      <c r="X154" s="87" t="str">
        <f t="shared" si="71"/>
        <v>1.92300919023744+2.32511565345073j</v>
      </c>
      <c r="Y154" s="87">
        <f t="shared" si="72"/>
        <v>9.5923831442239411</v>
      </c>
      <c r="Z154" s="87">
        <f t="shared" si="73"/>
        <v>-129.59277562350474</v>
      </c>
      <c r="AB154" s="87" t="str">
        <f t="shared" si="74"/>
        <v>11.1323534538398-1.99548493379885j</v>
      </c>
      <c r="AC154" s="87">
        <f t="shared" si="75"/>
        <v>21.06908755083003</v>
      </c>
      <c r="AD154" s="87">
        <f t="shared" si="76"/>
        <v>169.83760221223395</v>
      </c>
      <c r="AF154" s="87" t="str">
        <f t="shared" si="77"/>
        <v>1.99999621096972-2.27358417242159j</v>
      </c>
      <c r="AG154" s="87">
        <f t="shared" si="78"/>
        <v>9.6233001688299638</v>
      </c>
      <c r="AH154" s="87">
        <f t="shared" si="79"/>
        <v>131.33701203999055</v>
      </c>
      <c r="AJ154" s="87" t="str">
        <f t="shared" si="80"/>
        <v>157499.938595353-98.342402820249j</v>
      </c>
      <c r="AK154" s="87" t="str">
        <f t="shared" si="81"/>
        <v>30000-0.000035679797246655j</v>
      </c>
      <c r="AL154" s="87" t="str">
        <f t="shared" si="95"/>
        <v>10000-560541.301895291j</v>
      </c>
      <c r="AM154" s="87" t="str">
        <f t="shared" si="96"/>
        <v>962.993348788252-173972.941763171j</v>
      </c>
      <c r="AN154" s="87" t="str">
        <f t="shared" si="97"/>
        <v>10962.9933487883-173972.941763171j</v>
      </c>
      <c r="AO154" s="87" t="str">
        <f t="shared" si="98"/>
        <v>28845.9160362736-4901.48217107911j</v>
      </c>
      <c r="AP154" s="87" t="str">
        <f t="shared" si="99"/>
        <v>0.160000008383852+0.0000839187224410567j</v>
      </c>
      <c r="AQ154" s="87" t="str">
        <f t="shared" si="82"/>
        <v>1+5.42332918149156j</v>
      </c>
      <c r="AR154" s="87">
        <f t="shared" si="83"/>
        <v>7.8499634933612649E-8</v>
      </c>
      <c r="AS154" s="87" t="str">
        <f t="shared" si="84"/>
        <v>0.000301842362978485j</v>
      </c>
      <c r="AT154" s="87" t="str">
        <f t="shared" si="85"/>
        <v>7.84996349336126E-08+0.000301842362978485j</v>
      </c>
      <c r="AU154" s="87" t="str">
        <f t="shared" si="86"/>
        <v>5.39048478430428-0.99249438003396j</v>
      </c>
      <c r="AW154" s="87" t="str">
        <f t="shared" si="100"/>
        <v>0.857570568377888-0.181988701635989j</v>
      </c>
      <c r="AX154" s="87">
        <f t="shared" si="87"/>
        <v>-1.1432947382854683</v>
      </c>
      <c r="AY154" s="87">
        <f t="shared" si="88"/>
        <v>168.01876607779221</v>
      </c>
      <c r="AZ154" s="87" t="str">
        <f t="shared" si="89"/>
        <v>9.18362296655668-3.73723170008461j</v>
      </c>
      <c r="BA154" s="87">
        <f t="shared" si="90"/>
        <v>19.925792812544532</v>
      </c>
      <c r="BB154" s="87">
        <f t="shared" si="91"/>
        <v>157.85636829002613</v>
      </c>
      <c r="BD154" s="87" t="str">
        <f t="shared" si="92"/>
        <v>1.30137125579578-2.31373558470982j</v>
      </c>
      <c r="BE154" s="87">
        <f t="shared" si="93"/>
        <v>8.4800054305444554</v>
      </c>
      <c r="BF154" s="87">
        <f t="shared" si="94"/>
        <v>119.35577811778275</v>
      </c>
      <c r="BH154" s="87">
        <f t="shared" si="101"/>
        <v>-7.4800054305444554</v>
      </c>
      <c r="BI154" s="107">
        <f t="shared" si="102"/>
        <v>-119.35577811778275</v>
      </c>
      <c r="BJ154" s="91"/>
      <c r="BK154" s="91"/>
      <c r="BL154" s="91"/>
      <c r="BM154" s="91"/>
      <c r="BN154" s="42"/>
      <c r="BO154" s="42"/>
      <c r="BP154" s="42"/>
    </row>
    <row r="155" spans="1:68" s="87" customFormat="1">
      <c r="A155" s="87">
        <v>91</v>
      </c>
      <c r="B155" s="87">
        <f t="shared" si="52"/>
        <v>6606.9344800759627</v>
      </c>
      <c r="C155" s="87" t="str">
        <f t="shared" si="53"/>
        <v>41512.5936507115j</v>
      </c>
      <c r="D155" s="87">
        <f t="shared" si="54"/>
        <v>0.99913774650421694</v>
      </c>
      <c r="E155" s="87" t="str">
        <f t="shared" si="55"/>
        <v>-0.0461251040563461j</v>
      </c>
      <c r="F155" s="87" t="str">
        <f t="shared" si="56"/>
        <v>0.999137746504217-0.0461251040563461j</v>
      </c>
      <c r="G155" s="87">
        <f t="shared" si="57"/>
        <v>1.7531609369642286E-3</v>
      </c>
      <c r="H155" s="87">
        <f t="shared" si="58"/>
        <v>-2.6431778528867524</v>
      </c>
      <c r="J155" s="87">
        <f t="shared" si="59"/>
        <v>14.187192118226601</v>
      </c>
      <c r="K155" s="87" t="str">
        <f t="shared" si="60"/>
        <v>1+2.07874312705938j</v>
      </c>
      <c r="L155" s="87">
        <f t="shared" si="61"/>
        <v>0.7602471597628897</v>
      </c>
      <c r="M155" s="87" t="str">
        <f t="shared" si="62"/>
        <v>0.149169268170007j</v>
      </c>
      <c r="N155" s="87" t="str">
        <f t="shared" si="63"/>
        <v>0.76024715976289+0.149169268170007j</v>
      </c>
      <c r="O155" s="87" t="str">
        <f t="shared" si="64"/>
        <v>1.78321096560446+2.38441252827936j</v>
      </c>
      <c r="P155" s="87" t="str">
        <f t="shared" si="65"/>
        <v>25.2987565563588+33.8281186278057j</v>
      </c>
      <c r="R155" s="87">
        <f t="shared" si="66"/>
        <v>23.645320197044338</v>
      </c>
      <c r="S155" s="87" t="str">
        <f t="shared" si="67"/>
        <v>1+0.00311344452380336j</v>
      </c>
      <c r="T155" s="87" t="str">
        <f t="shared" si="68"/>
        <v>0.76024715976289+0.149169268170007j</v>
      </c>
      <c r="U155" s="87" t="str">
        <f t="shared" si="69"/>
        <v>1.26737270759272-0.244577848636009j</v>
      </c>
      <c r="V155" s="87" t="str">
        <f t="shared" si="70"/>
        <v>29.9674334800249-5.78312154410268j</v>
      </c>
      <c r="X155" s="87" t="str">
        <f t="shared" si="71"/>
        <v>2.03900371704772+2.4792708242966j</v>
      </c>
      <c r="Y155" s="87">
        <f t="shared" si="72"/>
        <v>10.130193362997954</v>
      </c>
      <c r="Z155" s="87">
        <f t="shared" si="73"/>
        <v>-129.43458747028669</v>
      </c>
      <c r="AB155" s="87" t="str">
        <f t="shared" si="74"/>
        <v>11.384114808733-2.19690884288793j</v>
      </c>
      <c r="AC155" s="87">
        <f t="shared" si="75"/>
        <v>21.284783601200417</v>
      </c>
      <c r="AD155" s="87">
        <f t="shared" si="76"/>
        <v>169.07731946811376</v>
      </c>
      <c r="AF155" s="87" t="str">
        <f t="shared" si="77"/>
        <v>1.89500811155897-2.26888408428137j</v>
      </c>
      <c r="AG155" s="87">
        <f t="shared" si="78"/>
        <v>9.4145630905597564</v>
      </c>
      <c r="AH155" s="87">
        <f t="shared" si="79"/>
        <v>129.86916984031589</v>
      </c>
      <c r="AJ155" s="87" t="str">
        <f t="shared" si="80"/>
        <v>157499.932671146-102.977133603619j</v>
      </c>
      <c r="AK155" s="87" t="str">
        <f t="shared" si="81"/>
        <v>30000-0.0000373613342856405j</v>
      </c>
      <c r="AL155" s="87" t="str">
        <f t="shared" si="95"/>
        <v>10000-535312.787468805j</v>
      </c>
      <c r="AM155" s="87" t="str">
        <f t="shared" si="96"/>
        <v>962.979287369397-166143.961004479j</v>
      </c>
      <c r="AN155" s="87" t="str">
        <f t="shared" si="97"/>
        <v>10962.9792873694-166143.961004479j</v>
      </c>
      <c r="AO155" s="87" t="str">
        <f t="shared" si="98"/>
        <v>28740.9686197561-5106.57338693532j</v>
      </c>
      <c r="AP155" s="87" t="str">
        <f t="shared" si="99"/>
        <v>0.160000009192711+0.0000878736898993727j</v>
      </c>
      <c r="AQ155" s="87" t="str">
        <f t="shared" si="82"/>
        <v>1+5.67892281141733j</v>
      </c>
      <c r="AR155" s="87">
        <f t="shared" si="83"/>
        <v>7.6425318495587635E-8</v>
      </c>
      <c r="AS155" s="87" t="str">
        <f t="shared" si="84"/>
        <v>0.000316067755285914j</v>
      </c>
      <c r="AT155" s="87" t="str">
        <f t="shared" si="85"/>
        <v>7.64253184955876E-08+0.000316067755285914j</v>
      </c>
      <c r="AU155" s="87" t="str">
        <f t="shared" si="86"/>
        <v>5.3904558609546-0.947860158727623j</v>
      </c>
      <c r="AW155" s="87" t="str">
        <f t="shared" si="100"/>
        <v>0.857506646015144-0.175938346375085j</v>
      </c>
      <c r="AX155" s="87">
        <f t="shared" si="87"/>
        <v>-1.156170720289063</v>
      </c>
      <c r="AY155" s="87">
        <f t="shared" si="88"/>
        <v>168.4052888959595</v>
      </c>
      <c r="AZ155" s="87" t="str">
        <f t="shared" si="89"/>
        <v>9.3754335985335-3.88676626785845j</v>
      </c>
      <c r="BA155" s="87">
        <f t="shared" si="90"/>
        <v>20.128612880911383</v>
      </c>
      <c r="BB155" s="87">
        <f t="shared" si="91"/>
        <v>157.48260836407329</v>
      </c>
      <c r="BD155" s="87" t="str">
        <f t="shared" si="92"/>
        <v>1.22579833600922-2.27898777482432j</v>
      </c>
      <c r="BE155" s="87">
        <f t="shared" si="93"/>
        <v>8.2583923702707178</v>
      </c>
      <c r="BF155" s="87">
        <f t="shared" si="94"/>
        <v>118.27445873627553</v>
      </c>
      <c r="BH155" s="87">
        <f t="shared" si="101"/>
        <v>-7.2583923702707178</v>
      </c>
      <c r="BI155" s="107">
        <f t="shared" si="102"/>
        <v>-118.27445873627553</v>
      </c>
      <c r="BJ155" s="91"/>
      <c r="BK155" s="91"/>
      <c r="BL155" s="91"/>
      <c r="BM155" s="91"/>
      <c r="BN155" s="42"/>
      <c r="BO155" s="42"/>
      <c r="BP155" s="42"/>
    </row>
    <row r="156" spans="1:68" s="87" customFormat="1">
      <c r="A156" s="87">
        <v>92</v>
      </c>
      <c r="B156" s="87">
        <f t="shared" si="52"/>
        <v>6918.309709189366</v>
      </c>
      <c r="C156" s="87" t="str">
        <f t="shared" si="53"/>
        <v>43469.0219152965j</v>
      </c>
      <c r="D156" s="87">
        <f t="shared" si="54"/>
        <v>0.99905455784232566</v>
      </c>
      <c r="E156" s="87" t="str">
        <f t="shared" si="55"/>
        <v>-0.0482989132392183j</v>
      </c>
      <c r="F156" s="87" t="str">
        <f t="shared" si="56"/>
        <v>0.999054557842326-0.0482989132392183j</v>
      </c>
      <c r="G156" s="87">
        <f t="shared" si="57"/>
        <v>1.9226067361306455E-3</v>
      </c>
      <c r="H156" s="87">
        <f t="shared" si="58"/>
        <v>-2.7677877532479407</v>
      </c>
      <c r="J156" s="87">
        <f t="shared" si="59"/>
        <v>14.187192118226601</v>
      </c>
      <c r="K156" s="87" t="str">
        <f t="shared" si="60"/>
        <v>1+2.17671127240847j</v>
      </c>
      <c r="L156" s="87">
        <f t="shared" si="61"/>
        <v>0.73711623821660766</v>
      </c>
      <c r="M156" s="87" t="str">
        <f t="shared" si="62"/>
        <v>0.156199399192675j</v>
      </c>
      <c r="N156" s="87" t="str">
        <f t="shared" si="63"/>
        <v>0.737116238216608+0.156199399192675j</v>
      </c>
      <c r="O156" s="87" t="str">
        <f t="shared" si="64"/>
        <v>1.89720626601565+2.55098001647833j</v>
      </c>
      <c r="P156" s="87" t="str">
        <f t="shared" si="65"/>
        <v>26.9160297838673+36.1912435835349j</v>
      </c>
      <c r="R156" s="87">
        <f t="shared" si="66"/>
        <v>23.645320197044338</v>
      </c>
      <c r="S156" s="87" t="str">
        <f t="shared" si="67"/>
        <v>1+0.00326017664364724j</v>
      </c>
      <c r="T156" s="87" t="str">
        <f t="shared" si="68"/>
        <v>0.737116238216608+0.156199399192675j</v>
      </c>
      <c r="U156" s="87" t="str">
        <f t="shared" si="69"/>
        <v>1.29923432124283-0.270892748514255j</v>
      </c>
      <c r="V156" s="87" t="str">
        <f t="shared" si="70"/>
        <v>30.7208115367763-6.40534577767697j</v>
      </c>
      <c r="X156" s="87" t="str">
        <f t="shared" si="71"/>
        <v>2.17586122306581+2.64831638163952j</v>
      </c>
      <c r="Y156" s="87">
        <f t="shared" si="72"/>
        <v>10.699621530291804</v>
      </c>
      <c r="Z156" s="87">
        <f t="shared" si="73"/>
        <v>-129.40658293851027</v>
      </c>
      <c r="AB156" s="87" t="str">
        <f t="shared" si="74"/>
        <v>11.670310231446-2.43328117408897j</v>
      </c>
      <c r="AC156" s="87">
        <f t="shared" si="75"/>
        <v>21.526460256410125</v>
      </c>
      <c r="AD156" s="87">
        <f t="shared" si="76"/>
        <v>168.22245818707884</v>
      </c>
      <c r="AF156" s="87" t="str">
        <f t="shared" si="77"/>
        <v>1.79062987016553-2.25936685790527j</v>
      </c>
      <c r="AG156" s="87">
        <f t="shared" si="78"/>
        <v>9.1965819065836492</v>
      </c>
      <c r="AH156" s="87">
        <f t="shared" si="79"/>
        <v>128.39809613635572</v>
      </c>
      <c r="AJ156" s="87" t="str">
        <f t="shared" si="80"/>
        <v>157499.926175382-107.830291945561j</v>
      </c>
      <c r="AK156" s="87" t="str">
        <f t="shared" si="81"/>
        <v>30000-0.000039122119723767j</v>
      </c>
      <c r="AL156" s="87" t="str">
        <f t="shared" si="95"/>
        <v>10000-511219.743235179j</v>
      </c>
      <c r="AM156" s="87" t="str">
        <f t="shared" si="96"/>
        <v>962.963869802179-158667.393827402j</v>
      </c>
      <c r="AN156" s="87" t="str">
        <f t="shared" si="97"/>
        <v>10962.9638698022-158667.393827402j</v>
      </c>
      <c r="AO156" s="87" t="str">
        <f t="shared" si="98"/>
        <v>28627.108801298-5317.80533527641j</v>
      </c>
      <c r="AP156" s="87" t="str">
        <f t="shared" si="99"/>
        <v>0.160000010079607+0.0000920150492190534j</v>
      </c>
      <c r="AQ156" s="87" t="str">
        <f t="shared" si="82"/>
        <v>1+5.94656219801256j</v>
      </c>
      <c r="AR156" s="87">
        <f t="shared" si="83"/>
        <v>7.4150875749391777E-8</v>
      </c>
      <c r="AS156" s="87" t="str">
        <f t="shared" si="84"/>
        <v>0.000330963569678246j</v>
      </c>
      <c r="AT156" s="87" t="str">
        <f t="shared" si="85"/>
        <v>7.41508757493918E-08+0.000330963569678246j</v>
      </c>
      <c r="AU156" s="87" t="str">
        <f t="shared" si="86"/>
        <v>5.39042948205897-0.905236474287801j</v>
      </c>
      <c r="AW156" s="87" t="str">
        <f t="shared" si="100"/>
        <v>0.857437419312493-0.170260862954605j</v>
      </c>
      <c r="AX156" s="87">
        <f t="shared" si="87"/>
        <v>-1.1679996275995543</v>
      </c>
      <c r="AY156" s="87">
        <f t="shared" si="88"/>
        <v>168.76890204897649</v>
      </c>
      <c r="AZ156" s="87" t="str">
        <f t="shared" si="89"/>
        <v>9.59226813491566-4.07338342132647j</v>
      </c>
      <c r="BA156" s="87">
        <f t="shared" si="90"/>
        <v>20.358460628810569</v>
      </c>
      <c r="BB156" s="87">
        <f t="shared" si="91"/>
        <v>156.99136023605533</v>
      </c>
      <c r="BD156" s="87" t="str">
        <f t="shared" si="92"/>
        <v>1.15067130386061-2.24213987484915j</v>
      </c>
      <c r="BE156" s="87">
        <f t="shared" si="93"/>
        <v>8.0285822789841035</v>
      </c>
      <c r="BF156" s="87">
        <f t="shared" si="94"/>
        <v>117.16699818533213</v>
      </c>
      <c r="BH156" s="87">
        <f t="shared" si="101"/>
        <v>-7.0285822789841035</v>
      </c>
      <c r="BI156" s="107">
        <f t="shared" si="102"/>
        <v>-117.16699818533213</v>
      </c>
      <c r="BJ156" s="91"/>
      <c r="BK156" s="91"/>
      <c r="BL156" s="91"/>
      <c r="BM156" s="91"/>
      <c r="BN156" s="42"/>
      <c r="BO156" s="42"/>
      <c r="BP156" s="42"/>
    </row>
    <row r="157" spans="1:68" s="87" customFormat="1">
      <c r="A157" s="87">
        <v>93</v>
      </c>
      <c r="B157" s="87">
        <f t="shared" si="52"/>
        <v>7244.3596007499063</v>
      </c>
      <c r="C157" s="87" t="str">
        <f t="shared" si="53"/>
        <v>45517.6538033572j</v>
      </c>
      <c r="D157" s="87">
        <f t="shared" si="54"/>
        <v>0.99896334328839553</v>
      </c>
      <c r="E157" s="87" t="str">
        <f t="shared" si="55"/>
        <v>-0.0505751708926191j</v>
      </c>
      <c r="F157" s="87" t="str">
        <f t="shared" si="56"/>
        <v>0.998963343288396-0.0505751708926191j</v>
      </c>
      <c r="G157" s="87">
        <f t="shared" si="57"/>
        <v>2.1084618165096987E-3</v>
      </c>
      <c r="H157" s="87">
        <f t="shared" si="58"/>
        <v>-2.8982763653901515</v>
      </c>
      <c r="J157" s="87">
        <f t="shared" si="59"/>
        <v>14.187192118226601</v>
      </c>
      <c r="K157" s="87" t="str">
        <f t="shared" si="60"/>
        <v>1+2.27929651420311j</v>
      </c>
      <c r="L157" s="87">
        <f t="shared" si="61"/>
        <v>0.71175368708441078</v>
      </c>
      <c r="M157" s="87" t="str">
        <f t="shared" si="62"/>
        <v>0.163560850083049j</v>
      </c>
      <c r="N157" s="87" t="str">
        <f t="shared" si="63"/>
        <v>0.711753687084411+0.163560850083049j</v>
      </c>
      <c r="O157" s="87" t="str">
        <f t="shared" si="64"/>
        <v>2.03349880756484+2.73506938695221j</v>
      </c>
      <c r="P157" s="87" t="str">
        <f t="shared" si="65"/>
        <v>28.8496382551071+38.8029548493713j</v>
      </c>
      <c r="R157" s="87">
        <f t="shared" si="66"/>
        <v>23.645320197044338</v>
      </c>
      <c r="S157" s="87" t="str">
        <f t="shared" si="67"/>
        <v>1+0.00341382403525179j</v>
      </c>
      <c r="T157" s="87" t="str">
        <f t="shared" si="68"/>
        <v>0.711753687084411+0.163560850083049j</v>
      </c>
      <c r="U157" s="87" t="str">
        <f t="shared" si="69"/>
        <v>1.3355547291281-0.302113844572011j</v>
      </c>
      <c r="V157" s="87" t="str">
        <f t="shared" si="70"/>
        <v>31.5796192109107-7.14357859086529j</v>
      </c>
      <c r="X157" s="87" t="str">
        <f t="shared" si="71"/>
        <v>2.3387259154488+2.83420388055681j</v>
      </c>
      <c r="Y157" s="87">
        <f t="shared" si="72"/>
        <v>11.304093788280356</v>
      </c>
      <c r="Z157" s="87">
        <f t="shared" si="73"/>
        <v>-129.52873790197415</v>
      </c>
      <c r="AB157" s="87" t="str">
        <f t="shared" si="74"/>
        <v>11.9965565603979-2.7137231781235j</v>
      </c>
      <c r="AC157" s="87">
        <f t="shared" si="75"/>
        <v>21.797862893590938</v>
      </c>
      <c r="AD157" s="87">
        <f t="shared" si="76"/>
        <v>167.25372759005526</v>
      </c>
      <c r="AF157" s="87" t="str">
        <f t="shared" si="77"/>
        <v>1.68729421134425-2.24512558664128j</v>
      </c>
      <c r="AG157" s="87">
        <f t="shared" si="78"/>
        <v>8.9694216138713241</v>
      </c>
      <c r="AH157" s="87">
        <f t="shared" si="79"/>
        <v>126.92620477600271</v>
      </c>
      <c r="AJ157" s="87" t="str">
        <f t="shared" si="80"/>
        <v>157499.91905292-112.912171934745j</v>
      </c>
      <c r="AK157" s="87" t="str">
        <f t="shared" si="81"/>
        <v>30000-0.0000409658884230216j</v>
      </c>
      <c r="AL157" s="87" t="str">
        <f t="shared" si="95"/>
        <v>10000-488211.064617378j</v>
      </c>
      <c r="AM157" s="87" t="str">
        <f t="shared" si="96"/>
        <v>962.946965343306-151527.381425372j</v>
      </c>
      <c r="AN157" s="87" t="str">
        <f t="shared" si="97"/>
        <v>10962.9469653433-151527.381425372j</v>
      </c>
      <c r="AO157" s="87" t="str">
        <f t="shared" si="98"/>
        <v>28503.6979872003-5535.01986305574j</v>
      </c>
      <c r="AP157" s="87" t="str">
        <f t="shared" si="99"/>
        <v>0.16000001105207+0.0000963515847760316j</v>
      </c>
      <c r="AQ157" s="87" t="str">
        <f t="shared" si="82"/>
        <v>1+6.22681504029926j</v>
      </c>
      <c r="AR157" s="87">
        <f t="shared" si="83"/>
        <v>7.1656998869812003E-8</v>
      </c>
      <c r="AS157" s="87" t="str">
        <f t="shared" si="84"/>
        <v>0.000346561402174925j</v>
      </c>
      <c r="AT157" s="87" t="str">
        <f t="shared" si="85"/>
        <v>7.1656998869812E-08+0.000346561402174925j</v>
      </c>
      <c r="AU157" s="87" t="str">
        <f t="shared" si="86"/>
        <v>5.39040542368614-0.864532916373123j</v>
      </c>
      <c r="AW157" s="87" t="str">
        <f t="shared" si="100"/>
        <v>0.857362303263651-0.164944161861436j</v>
      </c>
      <c r="AX157" s="87">
        <f t="shared" si="87"/>
        <v>-1.1788735732756095</v>
      </c>
      <c r="AY157" s="87">
        <f t="shared" si="88"/>
        <v>169.11016837185841</v>
      </c>
      <c r="AZ157" s="87" t="str">
        <f t="shared" si="89"/>
        <v>9.83778256871583-4.30540592149406j</v>
      </c>
      <c r="BA157" s="87">
        <f t="shared" si="90"/>
        <v>20.618989320315301</v>
      </c>
      <c r="BB157" s="87">
        <f t="shared" si="91"/>
        <v>156.36389596191361</v>
      </c>
      <c r="BD157" s="87" t="str">
        <f t="shared" si="92"/>
        <v>1.07630209315932-2.20319537358275j</v>
      </c>
      <c r="BE157" s="87">
        <f t="shared" si="93"/>
        <v>7.790548040595703</v>
      </c>
      <c r="BF157" s="87">
        <f t="shared" si="94"/>
        <v>116.03637314786113</v>
      </c>
      <c r="BH157" s="87">
        <f t="shared" si="101"/>
        <v>-6.790548040595703</v>
      </c>
      <c r="BI157" s="107">
        <f t="shared" si="102"/>
        <v>-116.03637314786113</v>
      </c>
      <c r="BJ157" s="91"/>
      <c r="BK157" s="91"/>
      <c r="BL157" s="91"/>
      <c r="BM157" s="91"/>
      <c r="BN157" s="42"/>
      <c r="BO157" s="42"/>
      <c r="BP157" s="42"/>
    </row>
    <row r="158" spans="1:68" s="87" customFormat="1">
      <c r="A158" s="87">
        <v>94</v>
      </c>
      <c r="B158" s="87">
        <f t="shared" si="52"/>
        <v>7585.775750291843</v>
      </c>
      <c r="C158" s="87" t="str">
        <f t="shared" si="53"/>
        <v>47662.8347377929j</v>
      </c>
      <c r="D158" s="87">
        <f t="shared" si="54"/>
        <v>0.99886332851884019</v>
      </c>
      <c r="E158" s="87" t="str">
        <f t="shared" si="55"/>
        <v>-0.0529587052642143j</v>
      </c>
      <c r="F158" s="87" t="str">
        <f t="shared" si="56"/>
        <v>0.99886332851884-0.0529587052642143j</v>
      </c>
      <c r="G158" s="87">
        <f t="shared" si="57"/>
        <v>2.3123217364310611E-3</v>
      </c>
      <c r="H158" s="87">
        <f t="shared" si="58"/>
        <v>-3.0349216345684509</v>
      </c>
      <c r="J158" s="87">
        <f t="shared" si="59"/>
        <v>14.187192118226601</v>
      </c>
      <c r="K158" s="87" t="str">
        <f t="shared" si="60"/>
        <v>1+2.38671644949498j</v>
      </c>
      <c r="L158" s="87">
        <f t="shared" si="61"/>
        <v>0.68394420276939094</v>
      </c>
      <c r="M158" s="87" t="str">
        <f t="shared" si="62"/>
        <v>0.171269235465434j</v>
      </c>
      <c r="N158" s="87" t="str">
        <f t="shared" si="63"/>
        <v>0.683944202769391+0.171269235465434j</v>
      </c>
      <c r="O158" s="87" t="str">
        <f t="shared" si="64"/>
        <v>2.19812334876513+2.93919523837394j</v>
      </c>
      <c r="P158" s="87" t="str">
        <f t="shared" si="65"/>
        <v>31.1851982484905+41.6989275197879j</v>
      </c>
      <c r="R158" s="87">
        <f t="shared" si="66"/>
        <v>23.645320197044338</v>
      </c>
      <c r="S158" s="87" t="str">
        <f t="shared" si="67"/>
        <v>1+0.00357471260533447j</v>
      </c>
      <c r="T158" s="87" t="str">
        <f t="shared" si="68"/>
        <v>0.683944202769391+0.171269235465434j</v>
      </c>
      <c r="U158" s="87" t="str">
        <f t="shared" si="69"/>
        <v>1.3770645388279-0.339609689219923j</v>
      </c>
      <c r="V158" s="87" t="str">
        <f t="shared" si="70"/>
        <v>32.5611319525809-8.0301798436238j</v>
      </c>
      <c r="X158" s="87" t="str">
        <f t="shared" si="71"/>
        <v>2.53443207433884+3.03906314379542j</v>
      </c>
      <c r="Y158" s="87">
        <f t="shared" si="72"/>
        <v>11.947709779647347</v>
      </c>
      <c r="Z158" s="87">
        <f t="shared" si="73"/>
        <v>-129.8264763393216</v>
      </c>
      <c r="AB158" s="87" t="str">
        <f t="shared" si="74"/>
        <v>12.3694164432722-3.05052781165j</v>
      </c>
      <c r="AC158" s="87">
        <f t="shared" si="75"/>
        <v>22.103404161631723</v>
      </c>
      <c r="AD158" s="87">
        <f t="shared" si="76"/>
        <v>166.14624613605645</v>
      </c>
      <c r="AF158" s="87" t="str">
        <f t="shared" si="77"/>
        <v>1.58541667174318-2.226300865543j</v>
      </c>
      <c r="AG158" s="87">
        <f t="shared" si="78"/>
        <v>8.733183673708627</v>
      </c>
      <c r="AH158" s="87">
        <f t="shared" si="79"/>
        <v>125.45582621728707</v>
      </c>
      <c r="AJ158" s="87" t="str">
        <f t="shared" si="80"/>
        <v>157499.911243296-118.233552792699j</v>
      </c>
      <c r="AK158" s="87" t="str">
        <f t="shared" si="81"/>
        <v>30000-0.0000428965512640137j</v>
      </c>
      <c r="AL158" s="87" t="str">
        <f t="shared" si="95"/>
        <v>10000-466237.947123228j</v>
      </c>
      <c r="AM158" s="87" t="str">
        <f t="shared" si="96"/>
        <v>962.928430654872-144708.77886886j</v>
      </c>
      <c r="AN158" s="87" t="str">
        <f t="shared" si="97"/>
        <v>10962.9284306549-144708.77886886j</v>
      </c>
      <c r="AO158" s="87" t="str">
        <f t="shared" si="98"/>
        <v>28370.0738032469-5758.00212211565j</v>
      </c>
      <c r="AP158" s="87" t="str">
        <f t="shared" si="99"/>
        <v>0.160000012118353+0.000100892494940856j</v>
      </c>
      <c r="AQ158" s="87" t="str">
        <f t="shared" si="82"/>
        <v>1+6.52027579213007j</v>
      </c>
      <c r="AR158" s="87">
        <f t="shared" si="83"/>
        <v>6.8922517247487247E-8</v>
      </c>
      <c r="AS158" s="87" t="str">
        <f t="shared" si="84"/>
        <v>0.000362894337869913j</v>
      </c>
      <c r="AT158" s="87" t="str">
        <f t="shared" si="85"/>
        <v>6.89225172474872E-08+0.000362894337869913j</v>
      </c>
      <c r="AU158" s="87" t="str">
        <f t="shared" si="86"/>
        <v>5.39038348160385-0.825663147461196j</v>
      </c>
      <c r="AW158" s="87" t="str">
        <f t="shared" si="100"/>
        <v>0.8572806634048-0.159976911926803j</v>
      </c>
      <c r="AX158" s="87">
        <f t="shared" si="87"/>
        <v>-1.1888779111939289</v>
      </c>
      <c r="AY158" s="87">
        <f t="shared" si="88"/>
        <v>169.42962907917067</v>
      </c>
      <c r="AZ158" s="87" t="str">
        <f t="shared" si="89"/>
        <v>10.1160475153641-4.59397955103742j</v>
      </c>
      <c r="BA158" s="87">
        <f t="shared" si="90"/>
        <v>20.914526250437842</v>
      </c>
      <c r="BB158" s="87">
        <f t="shared" si="91"/>
        <v>155.5758752152272</v>
      </c>
      <c r="BD158" s="87" t="str">
        <f t="shared" si="92"/>
        <v>1.00299031863549-2.16219474621414j</v>
      </c>
      <c r="BE158" s="87">
        <f t="shared" si="93"/>
        <v>7.5443057625147496</v>
      </c>
      <c r="BF158" s="87">
        <f t="shared" si="94"/>
        <v>114.88545529645771</v>
      </c>
      <c r="BH158" s="87">
        <f t="shared" si="101"/>
        <v>-6.5443057625147496</v>
      </c>
      <c r="BI158" s="107">
        <f t="shared" si="102"/>
        <v>-114.88545529645771</v>
      </c>
      <c r="BJ158" s="91"/>
      <c r="BK158" s="91"/>
      <c r="BL158" s="91"/>
      <c r="BM158" s="91"/>
      <c r="BN158" s="42"/>
      <c r="BO158" s="42"/>
      <c r="BP158" s="42"/>
    </row>
    <row r="159" spans="1:68" s="87" customFormat="1">
      <c r="A159" s="87">
        <v>95</v>
      </c>
      <c r="B159" s="87">
        <f t="shared" si="52"/>
        <v>7943.2823472428199</v>
      </c>
      <c r="C159" s="87" t="str">
        <f t="shared" si="53"/>
        <v>49909.1149349751j</v>
      </c>
      <c r="D159" s="87">
        <f t="shared" si="54"/>
        <v>0.99875366450473047</v>
      </c>
      <c r="E159" s="87" t="str">
        <f t="shared" si="55"/>
        <v>-0.0554545721499723j</v>
      </c>
      <c r="F159" s="87" t="str">
        <f t="shared" si="56"/>
        <v>0.99875366450473-0.0554545721499723j</v>
      </c>
      <c r="G159" s="87">
        <f t="shared" si="57"/>
        <v>2.5359384999098064E-3</v>
      </c>
      <c r="H159" s="87">
        <f t="shared" si="58"/>
        <v>-3.1780147362946098</v>
      </c>
      <c r="J159" s="87">
        <f t="shared" si="59"/>
        <v>14.187192118226601</v>
      </c>
      <c r="K159" s="87" t="str">
        <f t="shared" si="60"/>
        <v>1+2.49919893036888j</v>
      </c>
      <c r="L159" s="87">
        <f t="shared" si="61"/>
        <v>0.65345170957198595</v>
      </c>
      <c r="M159" s="87" t="str">
        <f t="shared" si="62"/>
        <v>0.179340905858707j</v>
      </c>
      <c r="N159" s="87" t="str">
        <f t="shared" si="63"/>
        <v>0.653451709571986+0.179340905858707j</v>
      </c>
      <c r="O159" s="87" t="str">
        <f t="shared" si="64"/>
        <v>2.39928303401048+3.16612430166134j</v>
      </c>
      <c r="P159" s="87" t="str">
        <f t="shared" si="65"/>
        <v>34.0390893495083+44.9184137378555j</v>
      </c>
      <c r="R159" s="87">
        <f t="shared" si="66"/>
        <v>23.645320197044338</v>
      </c>
      <c r="S159" s="87" t="str">
        <f t="shared" si="67"/>
        <v>1+0.00374318362012313j</v>
      </c>
      <c r="T159" s="87" t="str">
        <f t="shared" si="68"/>
        <v>0.653451709571986+0.179340905858707j</v>
      </c>
      <c r="U159" s="87" t="str">
        <f t="shared" si="69"/>
        <v>1.42460088605101-0.385255752006948j</v>
      </c>
      <c r="V159" s="87" t="str">
        <f t="shared" si="70"/>
        <v>33.6851441036692-9.10949561395739j</v>
      </c>
      <c r="X159" s="87" t="str">
        <f t="shared" si="71"/>
        <v>2.77220262801695+3.26507866774382j</v>
      </c>
      <c r="Y159" s="87">
        <f t="shared" si="72"/>
        <v>12.635377463791194</v>
      </c>
      <c r="Z159" s="87">
        <f t="shared" si="73"/>
        <v>-130.33279516534432</v>
      </c>
      <c r="AB159" s="87" t="str">
        <f t="shared" si="74"/>
        <v>12.7964094115866-3.46054139030844j</v>
      </c>
      <c r="AC159" s="87">
        <f t="shared" si="75"/>
        <v>22.448296978609989</v>
      </c>
      <c r="AD159" s="87">
        <f t="shared" si="76"/>
        <v>164.86742917428424</v>
      </c>
      <c r="AF159" s="87" t="str">
        <f t="shared" si="77"/>
        <v>1.4853891503393-2.20307725694688j</v>
      </c>
      <c r="AG159" s="87">
        <f t="shared" si="78"/>
        <v>8.4880041517294202</v>
      </c>
      <c r="AH159" s="87">
        <f t="shared" si="79"/>
        <v>123.98918038335266</v>
      </c>
      <c r="AJ159" s="87" t="str">
        <f t="shared" si="80"/>
        <v>157499.902680215-123.805721735549j</v>
      </c>
      <c r="AK159" s="87" t="str">
        <f t="shared" si="81"/>
        <v>30000-0.0000449182034414775j</v>
      </c>
      <c r="AL159" s="87" t="str">
        <f t="shared" si="95"/>
        <v>10000-445253.782824536j</v>
      </c>
      <c r="AM159" s="87" t="str">
        <f t="shared" si="96"/>
        <v>962.908108593204-138197.122980828j</v>
      </c>
      <c r="AN159" s="87" t="str">
        <f t="shared" si="97"/>
        <v>10962.9081085932-138197.122980828j</v>
      </c>
      <c r="AO159" s="87" t="str">
        <f t="shared" si="98"/>
        <v>28225.5535408856-5986.47425391854j</v>
      </c>
      <c r="AP159" s="87" t="str">
        <f t="shared" si="99"/>
        <v>0.16000001328751+0.000105647411589603j</v>
      </c>
      <c r="AQ159" s="87" t="str">
        <f t="shared" si="82"/>
        <v>1+6.82756692310459j</v>
      </c>
      <c r="AR159" s="87">
        <f t="shared" si="83"/>
        <v>6.5924217770853922E-8</v>
      </c>
      <c r="AS159" s="87" t="str">
        <f t="shared" si="84"/>
        <v>0.000379997021109615j</v>
      </c>
      <c r="AT159" s="87" t="str">
        <f t="shared" si="85"/>
        <v>6.59242177708539E-08+0.000379997021109615j</v>
      </c>
      <c r="AU159" s="87" t="str">
        <f t="shared" si="86"/>
        <v>5.39036346954504-0.788544719718561j</v>
      </c>
      <c r="AW159" s="87" t="str">
        <f t="shared" si="100"/>
        <v>0.85719181053701-0.155348515272203j</v>
      </c>
      <c r="AX159" s="87">
        <f t="shared" si="87"/>
        <v>-1.1980917444254149</v>
      </c>
      <c r="AY159" s="87">
        <f t="shared" si="88"/>
        <v>169.7278019045846</v>
      </c>
      <c r="AZ159" s="87" t="str">
        <f t="shared" si="89"/>
        <v>10.4313873848684-4.95425094270198j</v>
      </c>
      <c r="BA159" s="87">
        <f t="shared" si="90"/>
        <v>21.250205234184619</v>
      </c>
      <c r="BB159" s="87">
        <f t="shared" si="91"/>
        <v>154.59523107886898</v>
      </c>
      <c r="BD159" s="87" t="str">
        <f t="shared" si="92"/>
        <v>0.931018634234728-2.11921278174187j</v>
      </c>
      <c r="BE159" s="87">
        <f t="shared" si="93"/>
        <v>7.2899124073040706</v>
      </c>
      <c r="BF159" s="87">
        <f t="shared" si="94"/>
        <v>113.7169822879373</v>
      </c>
      <c r="BH159" s="87">
        <f t="shared" si="101"/>
        <v>-6.2899124073040706</v>
      </c>
      <c r="BI159" s="107">
        <f t="shared" si="102"/>
        <v>-113.7169822879373</v>
      </c>
      <c r="BJ159" s="91"/>
      <c r="BK159" s="91"/>
      <c r="BL159" s="91"/>
      <c r="BM159" s="91"/>
      <c r="BN159" s="42"/>
      <c r="BO159" s="42"/>
      <c r="BP159" s="42"/>
    </row>
    <row r="160" spans="1:68" s="87" customFormat="1">
      <c r="A160" s="87">
        <v>96</v>
      </c>
      <c r="B160" s="87">
        <f t="shared" si="52"/>
        <v>8317.6377110267131</v>
      </c>
      <c r="C160" s="87" t="str">
        <f t="shared" si="53"/>
        <v>52261.2590563659j</v>
      </c>
      <c r="D160" s="87">
        <f t="shared" si="54"/>
        <v>0.99863342030435764</v>
      </c>
      <c r="E160" s="87" t="str">
        <f t="shared" si="55"/>
        <v>-0.0580680656181843j</v>
      </c>
      <c r="F160" s="87" t="str">
        <f t="shared" si="56"/>
        <v>0.998633420304358-0.0580680656181843j</v>
      </c>
      <c r="G160" s="87">
        <f t="shared" si="57"/>
        <v>2.7812361566936007E-3</v>
      </c>
      <c r="H160" s="87">
        <f t="shared" si="58"/>
        <v>-3.3278607190830209</v>
      </c>
      <c r="J160" s="87">
        <f t="shared" si="59"/>
        <v>14.187192118226601</v>
      </c>
      <c r="K160" s="87" t="str">
        <f t="shared" si="60"/>
        <v>1+2.61698254724752j</v>
      </c>
      <c r="L160" s="87">
        <f t="shared" si="61"/>
        <v>0.62001735563498594</v>
      </c>
      <c r="M160" s="87" t="str">
        <f t="shared" si="62"/>
        <v>0.187792982357961j</v>
      </c>
      <c r="N160" s="87" t="str">
        <f t="shared" si="63"/>
        <v>0.620017355634986+0.187792982357961j</v>
      </c>
      <c r="O160" s="87" t="str">
        <f t="shared" si="64"/>
        <v>2.64832218194306+3.41868853700857j</v>
      </c>
      <c r="P160" s="87" t="str">
        <f t="shared" si="65"/>
        <v>37.5722555861873+48.5015910669196j</v>
      </c>
      <c r="R160" s="87">
        <f t="shared" si="66"/>
        <v>23.645320197044338</v>
      </c>
      <c r="S160" s="87" t="str">
        <f t="shared" si="67"/>
        <v>1+0.00391959442922744j</v>
      </c>
      <c r="T160" s="87" t="str">
        <f t="shared" si="68"/>
        <v>0.620017355634986+0.187792982357961j</v>
      </c>
      <c r="U160" s="87" t="str">
        <f t="shared" si="69"/>
        <v>1.47908406710236-0.441668303639039j</v>
      </c>
      <c r="V160" s="87" t="str">
        <f t="shared" si="70"/>
        <v>34.9734163649819-10.4433884604305j</v>
      </c>
      <c r="X160" s="87" t="str">
        <f t="shared" si="71"/>
        <v>3.06469018404637+3.51418719676857j</v>
      </c>
      <c r="Y160" s="87">
        <f t="shared" si="72"/>
        <v>13.372962470323738</v>
      </c>
      <c r="Z160" s="87">
        <f t="shared" si="73"/>
        <v>-131.09138205706284</v>
      </c>
      <c r="AB160" s="87" t="str">
        <f t="shared" si="74"/>
        <v>13.2858019829413-3.96726444074649j</v>
      </c>
      <c r="AC160" s="87">
        <f t="shared" si="75"/>
        <v>22.83870237278482</v>
      </c>
      <c r="AD160" s="87">
        <f t="shared" si="76"/>
        <v>163.37388414713249</v>
      </c>
      <c r="AF160" s="87" t="str">
        <f t="shared" si="77"/>
        <v>1.3875742643767-2.17567877372171j</v>
      </c>
      <c r="AG160" s="87">
        <f t="shared" si="78"/>
        <v>8.2340513208971462</v>
      </c>
      <c r="AH160" s="87">
        <f t="shared" si="79"/>
        <v>122.52835182706264</v>
      </c>
      <c r="AJ160" s="87" t="str">
        <f t="shared" si="80"/>
        <v>157499.893290984-129.640497912924j</v>
      </c>
      <c r="AK160" s="87" t="str">
        <f t="shared" si="81"/>
        <v>30000-0.0000470351331507294j</v>
      </c>
      <c r="AL160" s="87" t="str">
        <f t="shared" si="95"/>
        <v>10000-425214.06149543j</v>
      </c>
      <c r="AM160" s="87" t="str">
        <f t="shared" si="96"/>
        <v>962.88582688156-131978.601658263j</v>
      </c>
      <c r="AN160" s="87" t="str">
        <f t="shared" si="97"/>
        <v>10962.8858268816-131978.601658263j</v>
      </c>
      <c r="AO160" s="87" t="str">
        <f t="shared" si="98"/>
        <v>28069.4386023812-6220.08893478247j</v>
      </c>
      <c r="AP160" s="87" t="str">
        <f t="shared" si="99"/>
        <v>0.160000014569465+0.000110626420534324j</v>
      </c>
      <c r="AQ160" s="87" t="str">
        <f t="shared" si="82"/>
        <v>1+7.14934023891086j</v>
      </c>
      <c r="AR160" s="87">
        <f t="shared" si="83"/>
        <v>6.2636647769217854E-8</v>
      </c>
      <c r="AS160" s="87" t="str">
        <f t="shared" si="84"/>
        <v>0.000397905728978178j</v>
      </c>
      <c r="AT160" s="87" t="str">
        <f t="shared" si="85"/>
        <v>6.26366477692179E-08+0.000397905728978178j</v>
      </c>
      <c r="AU160" s="87" t="str">
        <f t="shared" si="86"/>
        <v>5.39034521762673-0.753098900120844j</v>
      </c>
      <c r="AW160" s="87" t="str">
        <f t="shared" si="100"/>
        <v>0.857094995005771-0.151049083660997j</v>
      </c>
      <c r="AX160" s="87">
        <f t="shared" si="87"/>
        <v>-1.2065884142647176</v>
      </c>
      <c r="AY160" s="87">
        <f t="shared" si="88"/>
        <v>170.0051795309947</v>
      </c>
      <c r="AZ160" s="87" t="str">
        <f t="shared" si="89"/>
        <v>10.7879427258011-5.40713071125293j</v>
      </c>
      <c r="BA160" s="87">
        <f t="shared" si="90"/>
        <v>21.63211395852009</v>
      </c>
      <c r="BB160" s="87">
        <f t="shared" si="91"/>
        <v>153.37906367812712</v>
      </c>
      <c r="BD160" s="87" t="str">
        <f t="shared" si="92"/>
        <v>0.860648672084736-2.07435520884285j</v>
      </c>
      <c r="BE160" s="87">
        <f t="shared" si="93"/>
        <v>7.0274629066324126</v>
      </c>
      <c r="BF160" s="87">
        <f t="shared" si="94"/>
        <v>112.53353135805733</v>
      </c>
      <c r="BH160" s="87">
        <f t="shared" si="101"/>
        <v>-6.0274629066324126</v>
      </c>
      <c r="BI160" s="107">
        <f t="shared" si="102"/>
        <v>-112.53353135805733</v>
      </c>
      <c r="BJ160" s="91"/>
      <c r="BK160" s="91"/>
      <c r="BL160" s="91"/>
      <c r="BM160" s="91"/>
      <c r="BN160" s="42"/>
      <c r="BO160" s="42"/>
      <c r="BP160" s="42"/>
    </row>
    <row r="161" spans="1:68" s="87" customFormat="1">
      <c r="A161" s="87">
        <v>97</v>
      </c>
      <c r="B161" s="87">
        <f t="shared" si="52"/>
        <v>8709.635899560808</v>
      </c>
      <c r="C161" s="87" t="str">
        <f t="shared" si="53"/>
        <v>54724.2563150043j</v>
      </c>
      <c r="D161" s="87">
        <f t="shared" si="54"/>
        <v>0.99850157516043614</v>
      </c>
      <c r="E161" s="87" t="str">
        <f t="shared" si="55"/>
        <v>-0.0608047292388937j</v>
      </c>
      <c r="F161" s="87" t="str">
        <f t="shared" si="56"/>
        <v>0.998501575160436-0.0608047292388937j</v>
      </c>
      <c r="G161" s="87">
        <f t="shared" si="57"/>
        <v>3.0503280095299555E-3</v>
      </c>
      <c r="H161" s="87">
        <f t="shared" si="58"/>
        <v>-3.4847791802846424</v>
      </c>
      <c r="J161" s="87">
        <f t="shared" si="59"/>
        <v>14.187192118226601</v>
      </c>
      <c r="K161" s="87" t="str">
        <f t="shared" si="60"/>
        <v>1+2.74031713497384j</v>
      </c>
      <c r="L161" s="87">
        <f t="shared" si="61"/>
        <v>0.58335731554093306</v>
      </c>
      <c r="M161" s="87" t="str">
        <f t="shared" si="62"/>
        <v>0.19664339295064j</v>
      </c>
      <c r="N161" s="87" t="str">
        <f t="shared" si="63"/>
        <v>0.583357315540933+0.19664339295064j</v>
      </c>
      <c r="O161" s="87" t="str">
        <f t="shared" si="64"/>
        <v>2.96120959423618+3.69930191262653j</v>
      </c>
      <c r="P161" s="87" t="str">
        <f t="shared" si="65"/>
        <v>42.0112494157645+52.4827069377557j</v>
      </c>
      <c r="R161" s="87">
        <f t="shared" si="66"/>
        <v>23.645320197044338</v>
      </c>
      <c r="S161" s="87" t="str">
        <f t="shared" si="67"/>
        <v>1+0.00410431922362532j</v>
      </c>
      <c r="T161" s="87" t="str">
        <f t="shared" si="68"/>
        <v>0.583357315540933+0.19664339295064j</v>
      </c>
      <c r="U161" s="87" t="str">
        <f t="shared" si="69"/>
        <v>1.5414350710296-0.512565275502685j</v>
      </c>
      <c r="V161" s="87" t="str">
        <f t="shared" si="70"/>
        <v>36.4477258174487-12.1197700611472j</v>
      </c>
      <c r="X161" s="87" t="str">
        <f t="shared" si="71"/>
        <v>3.42954427202565+3.78740058125405j</v>
      </c>
      <c r="Y161" s="87">
        <f t="shared" si="72"/>
        <v>14.167432794803416</v>
      </c>
      <c r="Z161" s="87">
        <f t="shared" si="73"/>
        <v>-132.16128125598328</v>
      </c>
      <c r="AB161" s="87" t="str">
        <f t="shared" si="74"/>
        <v>13.8458668974649-4.60409310405285j</v>
      </c>
      <c r="AC161" s="87">
        <f t="shared" si="75"/>
        <v>23.281872957503559</v>
      </c>
      <c r="AD161" s="87">
        <f t="shared" si="76"/>
        <v>161.60675806696113</v>
      </c>
      <c r="AF161" s="87" t="str">
        <f t="shared" si="77"/>
        <v>1.29230066970779-2.14436357971322j</v>
      </c>
      <c r="AG161" s="87">
        <f t="shared" si="78"/>
        <v>7.9715228046967699</v>
      </c>
      <c r="AH161" s="87">
        <f t="shared" si="79"/>
        <v>121.07526771650541</v>
      </c>
      <c r="AJ161" s="87" t="str">
        <f t="shared" si="80"/>
        <v>157499.882995898-135.750257474749j</v>
      </c>
      <c r="AK161" s="87" t="str">
        <f t="shared" si="81"/>
        <v>30000-0.0000492518306835039j</v>
      </c>
      <c r="AL161" s="87" t="str">
        <f t="shared" si="95"/>
        <v>10000-406076.2762002j</v>
      </c>
      <c r="AM161" s="87" t="str">
        <f t="shared" si="96"/>
        <v>962.861396655759-126040.02457471j</v>
      </c>
      <c r="AN161" s="87" t="str">
        <f t="shared" si="97"/>
        <v>10962.8613966558-126040.02457471j</v>
      </c>
      <c r="AO161" s="87" t="str">
        <f t="shared" si="98"/>
        <v>27901.0200609183-6458.42290429052j</v>
      </c>
      <c r="AP161" s="87" t="str">
        <f t="shared" si="99"/>
        <v>0.160000015975101+0.00011584008291633j</v>
      </c>
      <c r="AQ161" s="87" t="str">
        <f t="shared" si="82"/>
        <v>1+7.48627826389259j</v>
      </c>
      <c r="AR161" s="87">
        <f t="shared" si="83"/>
        <v>5.9031898944129627E-8</v>
      </c>
      <c r="AS161" s="87" t="str">
        <f t="shared" si="84"/>
        <v>0.000416658448246053j</v>
      </c>
      <c r="AT161" s="87" t="str">
        <f t="shared" si="85"/>
        <v>5.90318989441296E-08+0.000416658448246053j</v>
      </c>
      <c r="AU161" s="87" t="str">
        <f t="shared" si="86"/>
        <v>5.3903285709078-0.719250503452056j</v>
      </c>
      <c r="AW161" s="87" t="str">
        <f t="shared" si="100"/>
        <v>0.856989400493562-0.147069416183694j</v>
      </c>
      <c r="AX161" s="87">
        <f t="shared" si="87"/>
        <v>-1.2144359689592217</v>
      </c>
      <c r="AY161" s="87">
        <f t="shared" si="88"/>
        <v>170.26222827518029</v>
      </c>
      <c r="AZ161" s="87" t="str">
        <f t="shared" si="89"/>
        <v>11.1886398869037-5.9819625502261j</v>
      </c>
      <c r="BA161" s="87">
        <f t="shared" si="90"/>
        <v>22.067436988544355</v>
      </c>
      <c r="BB161" s="87">
        <f t="shared" si="91"/>
        <v>151.86898634214145</v>
      </c>
      <c r="BD161" s="87" t="str">
        <f t="shared" si="92"/>
        <v>0.792117676436306-2.02775476364639j</v>
      </c>
      <c r="BE161" s="87">
        <f t="shared" si="93"/>
        <v>6.7570868357375762</v>
      </c>
      <c r="BF161" s="87">
        <f t="shared" si="94"/>
        <v>111.33749599168557</v>
      </c>
      <c r="BH161" s="87">
        <f t="shared" si="101"/>
        <v>-5.7570868357375762</v>
      </c>
      <c r="BI161" s="107">
        <f t="shared" si="102"/>
        <v>-111.33749599168557</v>
      </c>
      <c r="BJ161" s="91"/>
      <c r="BK161" s="91"/>
      <c r="BL161" s="91"/>
      <c r="BM161" s="91"/>
      <c r="BN161" s="42"/>
      <c r="BO161" s="42"/>
      <c r="BP161" s="42"/>
    </row>
    <row r="162" spans="1:68" s="87" customFormat="1">
      <c r="A162" s="87">
        <v>98</v>
      </c>
      <c r="B162" s="87">
        <f t="shared" si="52"/>
        <v>9120.1083935590977</v>
      </c>
      <c r="C162" s="87" t="str">
        <f t="shared" si="53"/>
        <v>57303.3310582957j</v>
      </c>
      <c r="D162" s="87">
        <f t="shared" si="54"/>
        <v>0.99835700983485898</v>
      </c>
      <c r="E162" s="87" t="str">
        <f t="shared" si="55"/>
        <v>-0.0636703678425508j</v>
      </c>
      <c r="F162" s="87" t="str">
        <f t="shared" si="56"/>
        <v>0.998357009834859-0.0636703678425508j</v>
      </c>
      <c r="G162" s="87">
        <f t="shared" si="57"/>
        <v>3.3455356042994275E-3</v>
      </c>
      <c r="H162" s="87">
        <f t="shared" si="58"/>
        <v>-3.6491049769690367</v>
      </c>
      <c r="J162" s="87">
        <f t="shared" si="59"/>
        <v>14.187192118226601</v>
      </c>
      <c r="K162" s="87" t="str">
        <f t="shared" si="60"/>
        <v>1+2.86946430274416j</v>
      </c>
      <c r="L162" s="87">
        <f t="shared" si="61"/>
        <v>0.54316038090806829</v>
      </c>
      <c r="M162" s="87" t="str">
        <f t="shared" si="62"/>
        <v>0.205910910544206j</v>
      </c>
      <c r="N162" s="87" t="str">
        <f t="shared" si="63"/>
        <v>0.543160380908068+0.205910910544206j</v>
      </c>
      <c r="O162" s="87" t="str">
        <f t="shared" si="64"/>
        <v>3.3608143498469+4.00882692540436j</v>
      </c>
      <c r="P162" s="87" t="str">
        <f t="shared" si="65"/>
        <v>47.6805188549708+56.8739977594313j</v>
      </c>
      <c r="R162" s="87">
        <f t="shared" si="66"/>
        <v>23.645320197044338</v>
      </c>
      <c r="S162" s="87" t="str">
        <f t="shared" si="67"/>
        <v>1+0.00429774982937218j</v>
      </c>
      <c r="T162" s="87" t="str">
        <f t="shared" si="68"/>
        <v>0.543160380908068+0.205910910544206j</v>
      </c>
      <c r="U162" s="87" t="str">
        <f t="shared" si="69"/>
        <v>1.61235640927107-0.603328295001113j</v>
      </c>
      <c r="V162" s="87" t="str">
        <f t="shared" si="70"/>
        <v>38.1246835689711-14.2658907192381j</v>
      </c>
      <c r="X162" s="87" t="str">
        <f t="shared" si="71"/>
        <v>3.89177611289908+4.08333961847639j</v>
      </c>
      <c r="Y162" s="87">
        <f t="shared" si="72"/>
        <v>15.026944941331323</v>
      </c>
      <c r="Z162" s="87">
        <f t="shared" si="73"/>
        <v>-133.62401116324514</v>
      </c>
      <c r="AB162" s="87" t="str">
        <f t="shared" si="74"/>
        <v>14.4829144305962-5.41936759131869j</v>
      </c>
      <c r="AC162" s="87">
        <f t="shared" si="75"/>
        <v>23.786238124933327</v>
      </c>
      <c r="AD162" s="87">
        <f t="shared" si="76"/>
        <v>159.48463319604326</v>
      </c>
      <c r="AF162" s="87" t="str">
        <f t="shared" si="77"/>
        <v>1.19985945149093-2.10941813117436j</v>
      </c>
      <c r="AG162" s="87">
        <f t="shared" si="78"/>
        <v>7.700642349362564</v>
      </c>
      <c r="AH162" s="87">
        <f t="shared" si="79"/>
        <v>119.63167902993939</v>
      </c>
      <c r="AJ162" s="87" t="str">
        <f t="shared" si="80"/>
        <v>157499.871707562-142.147959819036j</v>
      </c>
      <c r="AK162" s="87" t="str">
        <f t="shared" si="81"/>
        <v>30000-0.0000515729979524661j</v>
      </c>
      <c r="AL162" s="87" t="str">
        <f t="shared" si="95"/>
        <v>10000-387799.833130383j</v>
      </c>
      <c r="AM162" s="87" t="str">
        <f t="shared" si="96"/>
        <v>962.834610870668-120368.795201641j</v>
      </c>
      <c r="AN162" s="87" t="str">
        <f t="shared" si="97"/>
        <v>10962.8346108707-120368.795201641j</v>
      </c>
      <c r="AO162" s="87" t="str">
        <f t="shared" si="98"/>
        <v>27719.5854447683-6700.97063147322j</v>
      </c>
      <c r="AP162" s="87" t="str">
        <f t="shared" si="99"/>
        <v>0.16000001751635+0.000121299457607706j</v>
      </c>
      <c r="AQ162" s="87" t="str">
        <f t="shared" si="82"/>
        <v>1+7.83909568877485j</v>
      </c>
      <c r="AR162" s="87">
        <f t="shared" si="83"/>
        <v>5.5079370454847559E-8</v>
      </c>
      <c r="AS162" s="87" t="str">
        <f t="shared" si="84"/>
        <v>0.000436294955945031j</v>
      </c>
      <c r="AT162" s="87" t="str">
        <f t="shared" si="85"/>
        <v>5.50793704548476E-08+0.000436294955945031j</v>
      </c>
      <c r="AU162" s="87" t="str">
        <f t="shared" si="86"/>
        <v>5.3903133880737-0.686927732828958j</v>
      </c>
      <c r="AW162" s="87" t="str">
        <f t="shared" si="100"/>
        <v>0.856874137277929-0.143400978204643j</v>
      </c>
      <c r="AX162" s="87">
        <f t="shared" si="87"/>
        <v>-1.2216976117345737</v>
      </c>
      <c r="AY162" s="87">
        <f t="shared" si="88"/>
        <v>170.49938699396</v>
      </c>
      <c r="AZ162" s="87" t="str">
        <f t="shared" si="89"/>
        <v>11.6328921941416-6.72058002600481j</v>
      </c>
      <c r="BA162" s="87">
        <f t="shared" si="90"/>
        <v>22.564540513198782</v>
      </c>
      <c r="BB162" s="87">
        <f t="shared" si="91"/>
        <v>149.98402019000335</v>
      </c>
      <c r="BD162" s="87" t="str">
        <f t="shared" si="92"/>
        <v>0.725635908898051-1.97956686036034j</v>
      </c>
      <c r="BE162" s="87">
        <f t="shared" si="93"/>
        <v>6.4789447376280087</v>
      </c>
      <c r="BF162" s="87">
        <f t="shared" si="94"/>
        <v>110.13106602389948</v>
      </c>
      <c r="BH162" s="87">
        <f t="shared" si="101"/>
        <v>-5.4789447376280087</v>
      </c>
      <c r="BI162" s="107">
        <f t="shared" si="102"/>
        <v>-110.13106602389948</v>
      </c>
      <c r="BJ162" s="91"/>
      <c r="BK162" s="91"/>
      <c r="BL162" s="91"/>
      <c r="BM162" s="91"/>
      <c r="BN162" s="42"/>
      <c r="BO162" s="42"/>
      <c r="BP162" s="42"/>
    </row>
    <row r="163" spans="1:68" s="87" customFormat="1">
      <c r="A163" s="87">
        <v>99</v>
      </c>
      <c r="B163" s="87">
        <f t="shared" si="52"/>
        <v>9549.9258602143655</v>
      </c>
      <c r="C163" s="87" t="str">
        <f t="shared" si="53"/>
        <v>60003.9538495533j</v>
      </c>
      <c r="D163" s="87">
        <f t="shared" si="54"/>
        <v>0.99819849710744513</v>
      </c>
      <c r="E163" s="87" t="str">
        <f t="shared" si="55"/>
        <v>-0.066671059832837j</v>
      </c>
      <c r="F163" s="87" t="str">
        <f t="shared" si="56"/>
        <v>0.998198497107445-0.066671059832837j</v>
      </c>
      <c r="G163" s="87">
        <f t="shared" si="57"/>
        <v>3.6694096995236744E-3</v>
      </c>
      <c r="H163" s="87">
        <f t="shared" si="58"/>
        <v>-3.821188973963304</v>
      </c>
      <c r="J163" s="87">
        <f t="shared" si="59"/>
        <v>14.187192118226601</v>
      </c>
      <c r="K163" s="87" t="str">
        <f t="shared" si="60"/>
        <v>1+3.00469798901638j</v>
      </c>
      <c r="L163" s="87">
        <f t="shared" si="61"/>
        <v>0.49908531853133797</v>
      </c>
      <c r="M163" s="87" t="str">
        <f t="shared" si="62"/>
        <v>0.215615192785993j</v>
      </c>
      <c r="N163" s="87" t="str">
        <f t="shared" si="63"/>
        <v>0.499085318531338+0.215615192785993j</v>
      </c>
      <c r="O163" s="87" t="str">
        <f t="shared" si="64"/>
        <v>3.88036781241267+4.34401024146j</v>
      </c>
      <c r="P163" s="87" t="str">
        <f t="shared" si="65"/>
        <v>55.0515236440812+61.629307859137j</v>
      </c>
      <c r="R163" s="87">
        <f t="shared" si="66"/>
        <v>23.645320197044338</v>
      </c>
      <c r="S163" s="87" t="str">
        <f t="shared" si="67"/>
        <v>1+0.0045002965387165j</v>
      </c>
      <c r="T163" s="87" t="str">
        <f t="shared" si="68"/>
        <v>0.499085318531338+0.215615192785993j</v>
      </c>
      <c r="U163" s="87" t="str">
        <f t="shared" si="69"/>
        <v>1.69180020798527-0.721875635455681j</v>
      </c>
      <c r="V163" s="87" t="str">
        <f t="shared" si="70"/>
        <v>40.0031576272379-17.0689805427944j</v>
      </c>
      <c r="X163" s="87" t="str">
        <f t="shared" si="71"/>
        <v>4.48727069631753+4.39508828876553j</v>
      </c>
      <c r="Y163" s="87">
        <f t="shared" si="72"/>
        <v>15.960734207425844</v>
      </c>
      <c r="Z163" s="87">
        <f t="shared" si="73"/>
        <v>-135.59460254839297</v>
      </c>
      <c r="AB163" s="87" t="str">
        <f t="shared" si="74"/>
        <v>15.1965145578407-6.48421341442952j</v>
      </c>
      <c r="AC163" s="87">
        <f t="shared" si="75"/>
        <v>24.361293630756609</v>
      </c>
      <c r="AD163" s="87">
        <f t="shared" si="76"/>
        <v>156.89250189775834</v>
      </c>
      <c r="AF163" s="87" t="str">
        <f t="shared" si="77"/>
        <v>1.11050163605147-2.07115099266403j</v>
      </c>
      <c r="AG163" s="87">
        <f t="shared" si="78"/>
        <v>7.4216563207793618</v>
      </c>
      <c r="AH163" s="87">
        <f t="shared" si="79"/>
        <v>118.19914521622397</v>
      </c>
      <c r="AJ163" s="87" t="str">
        <f t="shared" si="80"/>
        <v>157499.85933015-148.84717507628j</v>
      </c>
      <c r="AK163" s="87" t="str">
        <f t="shared" si="81"/>
        <v>30000-0.000054003558464598j</v>
      </c>
      <c r="AL163" s="87" t="str">
        <f t="shared" si="95"/>
        <v>10000-370345.965499866j</v>
      </c>
      <c r="AM163" s="87" t="str">
        <f t="shared" si="96"/>
        <v>962.805242554199-114952.88408934j</v>
      </c>
      <c r="AN163" s="87" t="str">
        <f t="shared" si="97"/>
        <v>10962.8052425542-114952.88408934j</v>
      </c>
      <c r="AO163" s="87" t="str">
        <f t="shared" si="98"/>
        <v>27524.426841066-6947.1383078908j</v>
      </c>
      <c r="AP163" s="87" t="str">
        <f t="shared" si="99"/>
        <v>0.160000019206296+0.00012701612466858j</v>
      </c>
      <c r="AQ163" s="87" t="str">
        <f t="shared" si="82"/>
        <v>1+8.20854088661889j</v>
      </c>
      <c r="AR163" s="87">
        <f t="shared" si="83"/>
        <v>5.0745509146714897E-8</v>
      </c>
      <c r="AS163" s="87" t="str">
        <f t="shared" si="84"/>
        <v>0.000456856903740652j</v>
      </c>
      <c r="AT163" s="87" t="str">
        <f t="shared" si="85"/>
        <v>5.07455091467149E-08+0.000456856903740652j</v>
      </c>
      <c r="AU163" s="87" t="str">
        <f t="shared" si="86"/>
        <v>5.39029954023687-0.656062027412256j</v>
      </c>
      <c r="AW163" s="87" t="str">
        <f t="shared" si="100"/>
        <v>0.856748234904247-0.140035881496935j</v>
      </c>
      <c r="AX163" s="87">
        <f t="shared" si="87"/>
        <v>-1.2284321281652681</v>
      </c>
      <c r="AY163" s="87">
        <f t="shared" si="88"/>
        <v>170.71706618173678</v>
      </c>
      <c r="AZ163" s="87" t="str">
        <f t="shared" si="89"/>
        <v>12.1115644828228-7.68339570934316j</v>
      </c>
      <c r="BA163" s="87">
        <f t="shared" si="90"/>
        <v>23.132861502591332</v>
      </c>
      <c r="BB163" s="87">
        <f t="shared" si="91"/>
        <v>147.60956807949506</v>
      </c>
      <c r="BD163" s="87" t="str">
        <f t="shared" si="92"/>
        <v>0.661384861574414-1.92996503269334j</v>
      </c>
      <c r="BE163" s="87">
        <f t="shared" si="93"/>
        <v>6.1932241926140819</v>
      </c>
      <c r="BF163" s="87">
        <f t="shared" si="94"/>
        <v>108.91621139796072</v>
      </c>
      <c r="BH163" s="87">
        <f t="shared" si="101"/>
        <v>-5.1932241926140819</v>
      </c>
      <c r="BI163" s="107">
        <f t="shared" si="102"/>
        <v>-108.91621139796072</v>
      </c>
      <c r="BJ163" s="91"/>
      <c r="BK163" s="91"/>
      <c r="BL163" s="91"/>
      <c r="BM163" s="91"/>
      <c r="BN163" s="42"/>
      <c r="BO163" s="42"/>
      <c r="BP163" s="42"/>
    </row>
    <row r="164" spans="1:68" s="87" customFormat="1">
      <c r="A164" s="87">
        <v>100</v>
      </c>
      <c r="B164" s="87">
        <f t="shared" si="52"/>
        <v>10000</v>
      </c>
      <c r="C164" s="87" t="str">
        <f t="shared" si="53"/>
        <v>62831.8530717959j</v>
      </c>
      <c r="D164" s="87">
        <f t="shared" si="54"/>
        <v>0.99802469135802474</v>
      </c>
      <c r="E164" s="87" t="str">
        <f t="shared" si="55"/>
        <v>-0.0698131700797732j</v>
      </c>
      <c r="F164" s="87" t="str">
        <f t="shared" si="56"/>
        <v>0.998024691358025-0.0698131700797732j</v>
      </c>
      <c r="G164" s="87">
        <f t="shared" si="57"/>
        <v>4.0247534360643182E-3</v>
      </c>
      <c r="H164" s="87">
        <f t="shared" si="58"/>
        <v>-4.0013988313189577</v>
      </c>
      <c r="J164" s="87">
        <f t="shared" si="59"/>
        <v>14.187192118226601</v>
      </c>
      <c r="K164" s="87" t="str">
        <f t="shared" si="60"/>
        <v>1+3.14630504257018j</v>
      </c>
      <c r="L164" s="87">
        <f t="shared" si="61"/>
        <v>0.45075797364160319</v>
      </c>
      <c r="M164" s="87" t="str">
        <f t="shared" si="62"/>
        <v>0.225776823759712j</v>
      </c>
      <c r="N164" s="87" t="str">
        <f t="shared" si="63"/>
        <v>0.450757973641603+0.225776823759712j</v>
      </c>
      <c r="O164" s="87" t="str">
        <f t="shared" si="64"/>
        <v>4.56850099388994+4.69174928119659j</v>
      </c>
      <c r="P164" s="87" t="str">
        <f t="shared" si="65"/>
        <v>64.8142012926258+66.5627484228876j</v>
      </c>
      <c r="R164" s="87">
        <f t="shared" si="66"/>
        <v>23.645320197044338</v>
      </c>
      <c r="S164" s="87" t="str">
        <f t="shared" si="67"/>
        <v>1+0.00471238898038469j</v>
      </c>
      <c r="T164" s="87" t="str">
        <f t="shared" si="68"/>
        <v>0.450757973641603+0.225776823759712j</v>
      </c>
      <c r="U164" s="87" t="str">
        <f t="shared" si="69"/>
        <v>1.77772116273554-0.879975223661487j</v>
      </c>
      <c r="V164" s="87" t="str">
        <f t="shared" si="70"/>
        <v>42.0347861139438-20.8072959289416j</v>
      </c>
      <c r="X164" s="87" t="str">
        <f t="shared" si="71"/>
        <v>5.26769374011823+4.70343485310058j</v>
      </c>
      <c r="Y164" s="87">
        <f t="shared" si="72"/>
        <v>16.978471775853858</v>
      </c>
      <c r="Z164" s="87">
        <f t="shared" si="73"/>
        <v>-138.23887194863312</v>
      </c>
      <c r="AB164" s="87" t="str">
        <f t="shared" si="74"/>
        <v>15.9682954297919-7.90433541371652j</v>
      </c>
      <c r="AC164" s="87">
        <f t="shared" si="75"/>
        <v>25.016958209059979</v>
      </c>
      <c r="AD164" s="87">
        <f t="shared" si="76"/>
        <v>153.66450591257961</v>
      </c>
      <c r="AF164" s="87" t="str">
        <f t="shared" si="77"/>
        <v>1.02443682127251-2.02988655655808j</v>
      </c>
      <c r="AG164" s="87">
        <f t="shared" si="78"/>
        <v>7.1348300237205624</v>
      </c>
      <c r="AH164" s="87">
        <f t="shared" si="79"/>
        <v>116.77902244281265</v>
      </c>
      <c r="AJ164" s="87" t="str">
        <f t="shared" si="80"/>
        <v>157499.84575859-155.862112888665j</v>
      </c>
      <c r="AK164" s="87" t="str">
        <f t="shared" si="81"/>
        <v>30000-0.0000565486677646164j</v>
      </c>
      <c r="AL164" s="87" t="str">
        <f t="shared" si="95"/>
        <v>10000-353677.651315322j</v>
      </c>
      <c r="AM164" s="87" t="str">
        <f t="shared" si="96"/>
        <v>962.773042894666-109780.803350595j</v>
      </c>
      <c r="AN164" s="87" t="str">
        <f t="shared" si="97"/>
        <v>10962.7730428947-109780.803350595j</v>
      </c>
      <c r="AO164" s="87" t="str">
        <f t="shared" si="98"/>
        <v>27314.8503930139-7196.23839279862j</v>
      </c>
      <c r="AP164" s="87" t="str">
        <f t="shared" si="99"/>
        <v>0.160000021059285+0.000133002209909865j</v>
      </c>
      <c r="AQ164" s="87" t="str">
        <f t="shared" si="82"/>
        <v>1+8.59539750022168j</v>
      </c>
      <c r="AR164" s="87">
        <f t="shared" si="83"/>
        <v>4.5993524717238934E-8</v>
      </c>
      <c r="AS164" s="87" t="str">
        <f t="shared" si="84"/>
        <v>0.000478387906280978j</v>
      </c>
      <c r="AT164" s="87" t="str">
        <f t="shared" si="85"/>
        <v>4.59935247172389E-08+0.000478387906280978j</v>
      </c>
      <c r="AU164" s="87" t="str">
        <f t="shared" si="86"/>
        <v>5.39028690984258-0.626587916981583j</v>
      </c>
      <c r="AW164" s="87" t="str">
        <f t="shared" si="100"/>
        <v>0.856610634218426-0.136966865490786j</v>
      </c>
      <c r="AX164" s="87">
        <f t="shared" si="87"/>
        <v>-1.2346942933105851</v>
      </c>
      <c r="AY164" s="87">
        <f t="shared" si="88"/>
        <v>170.91564723219656</v>
      </c>
      <c r="AZ164" s="87" t="str">
        <f t="shared" si="89"/>
        <v>12.5959796300966-8.95806514406831j</v>
      </c>
      <c r="BA164" s="87">
        <f t="shared" si="90"/>
        <v>23.782263915749368</v>
      </c>
      <c r="BB164" s="87">
        <f t="shared" si="91"/>
        <v>144.58015314477603</v>
      </c>
      <c r="BD164" s="87" t="str">
        <f t="shared" si="92"/>
        <v>0.599516276233301-1.87913631090771j</v>
      </c>
      <c r="BE164" s="87">
        <f t="shared" si="93"/>
        <v>5.9001357304099518</v>
      </c>
      <c r="BF164" s="87">
        <f t="shared" si="94"/>
        <v>107.69466967500904</v>
      </c>
      <c r="BH164" s="87">
        <f t="shared" si="101"/>
        <v>-4.9001357304099518</v>
      </c>
      <c r="BI164" s="107">
        <f t="shared" si="102"/>
        <v>-107.69466967500904</v>
      </c>
      <c r="BJ164" s="91"/>
      <c r="BK164" s="91"/>
      <c r="BL164" s="91"/>
      <c r="BM164" s="91"/>
      <c r="BN164" s="42"/>
      <c r="BO164" s="42"/>
      <c r="BP164" s="42"/>
    </row>
    <row r="165" spans="1:68" s="87" customFormat="1">
      <c r="A165" s="87">
        <v>101</v>
      </c>
      <c r="B165" s="87">
        <f t="shared" si="52"/>
        <v>10471.285480508997</v>
      </c>
      <c r="C165" s="87" t="str">
        <f t="shared" si="53"/>
        <v>65793.0270784171j</v>
      </c>
      <c r="D165" s="87">
        <f t="shared" si="54"/>
        <v>0.99783411714342085</v>
      </c>
      <c r="E165" s="87" t="str">
        <f t="shared" si="55"/>
        <v>-0.0731033634204634j</v>
      </c>
      <c r="F165" s="87" t="str">
        <f t="shared" si="56"/>
        <v>0.997834117143421-0.0731033634204634j</v>
      </c>
      <c r="G165" s="87">
        <f t="shared" si="57"/>
        <v>4.4146479546527994E-3</v>
      </c>
      <c r="H165" s="87">
        <f t="shared" si="58"/>
        <v>-4.1901198336568468</v>
      </c>
      <c r="J165" s="87">
        <f t="shared" si="59"/>
        <v>14.187192118226601</v>
      </c>
      <c r="K165" s="87" t="str">
        <f t="shared" si="60"/>
        <v>1+3.29458583095174j</v>
      </c>
      <c r="L165" s="87">
        <f t="shared" si="61"/>
        <v>0.39776809369251698</v>
      </c>
      <c r="M165" s="87" t="str">
        <f t="shared" si="62"/>
        <v>0.236417357647051j</v>
      </c>
      <c r="N165" s="87" t="str">
        <f t="shared" si="63"/>
        <v>0.397768093692517+0.236417357647051j</v>
      </c>
      <c r="O165" s="87" t="str">
        <f t="shared" si="64"/>
        <v>5.49554412972593+5.01634957808259j</v>
      </c>
      <c r="P165" s="87" t="str">
        <f t="shared" si="65"/>
        <v>77.9663403626142+71.1679151964426j</v>
      </c>
      <c r="R165" s="87">
        <f t="shared" si="66"/>
        <v>23.645320197044338</v>
      </c>
      <c r="S165" s="87" t="str">
        <f t="shared" si="67"/>
        <v>1+0.00493447703088128j</v>
      </c>
      <c r="T165" s="87" t="str">
        <f t="shared" si="68"/>
        <v>0.397768093692517+0.236417357647051j</v>
      </c>
      <c r="U165" s="87" t="str">
        <f t="shared" si="69"/>
        <v>1.86320023294061-1.09500587330919j</v>
      </c>
      <c r="V165" s="87" t="str">
        <f t="shared" si="70"/>
        <v>44.0559660990883-25.89176449204j</v>
      </c>
      <c r="X165" s="87" t="str">
        <f t="shared" si="71"/>
        <v>6.30606245130456+4.96234710582644j</v>
      </c>
      <c r="Y165" s="87">
        <f t="shared" si="72"/>
        <v>18.088272770717953</v>
      </c>
      <c r="Z165" s="87">
        <f t="shared" si="73"/>
        <v>-141.80019479898061</v>
      </c>
      <c r="AB165" s="87" t="str">
        <f t="shared" si="74"/>
        <v>16.7361070949228-9.83583795304102j</v>
      </c>
      <c r="AC165" s="87">
        <f t="shared" si="75"/>
        <v>25.761581348280771</v>
      </c>
      <c r="AD165" s="87">
        <f t="shared" si="76"/>
        <v>149.55717538798393</v>
      </c>
      <c r="AF165" s="87" t="str">
        <f t="shared" si="77"/>
        <v>0.941832874702031-1.98595887862963j</v>
      </c>
      <c r="AG165" s="87">
        <f t="shared" si="78"/>
        <v>6.8404439386368132</v>
      </c>
      <c r="AH165" s="87">
        <f t="shared" si="79"/>
        <v>115.3724554256665</v>
      </c>
      <c r="AJ165" s="87" t="str">
        <f t="shared" si="80"/>
        <v>157499.830877673-163.207652545049j</v>
      </c>
      <c r="AK165" s="87" t="str">
        <f t="shared" si="81"/>
        <v>30000-0.0000592137243705753j</v>
      </c>
      <c r="AL165" s="87" t="str">
        <f t="shared" si="95"/>
        <v>10000-337759.534847608j</v>
      </c>
      <c r="AM165" s="87" t="str">
        <f t="shared" si="96"/>
        <v>962.737739145414-104841.582293095j</v>
      </c>
      <c r="AN165" s="87" t="str">
        <f t="shared" si="97"/>
        <v>10962.7377391454-104841.582293095j</v>
      </c>
      <c r="AO165" s="87" t="str">
        <f t="shared" si="98"/>
        <v>27090.1872330637-7447.4849715852j</v>
      </c>
      <c r="AP165" s="87" t="str">
        <f t="shared" si="99"/>
        <v>0.160000023091046+0.000139270410613611j</v>
      </c>
      <c r="AQ165" s="87" t="str">
        <f t="shared" si="82"/>
        <v>1+9.00048610432746j</v>
      </c>
      <c r="AR165" s="87">
        <f t="shared" si="83"/>
        <v>4.0783077401906595E-8</v>
      </c>
      <c r="AS165" s="87" t="str">
        <f t="shared" si="84"/>
        <v>0.000500933633709111j</v>
      </c>
      <c r="AT165" s="87" t="str">
        <f t="shared" si="85"/>
        <v>4.07830774019066E-08+0.000500933633709111j</v>
      </c>
      <c r="AU165" s="87" t="str">
        <f t="shared" si="86"/>
        <v>5.39027538967095-0.598442883065916j</v>
      </c>
      <c r="AW165" s="87" t="str">
        <f t="shared" si="100"/>
        <v>0.856460178701067-0.134187279558341j</v>
      </c>
      <c r="AX165" s="87">
        <f t="shared" si="87"/>
        <v>-1.2405352593335526</v>
      </c>
      <c r="AY165" s="87">
        <f t="shared" si="88"/>
        <v>171.09548183968508</v>
      </c>
      <c r="AZ165" s="87" t="str">
        <f t="shared" si="89"/>
        <v>13.0139649361825-10.669776212401j</v>
      </c>
      <c r="BA165" s="87">
        <f t="shared" si="90"/>
        <v>24.521046088947212</v>
      </c>
      <c r="BB165" s="87">
        <f t="shared" si="91"/>
        <v>140.65265722766893</v>
      </c>
      <c r="BD165" s="87" t="str">
        <f t="shared" si="92"/>
        <v>0.540151932935795-1.82727668733898j</v>
      </c>
      <c r="BE165" s="87">
        <f t="shared" si="93"/>
        <v>5.5999086793032546</v>
      </c>
      <c r="BF165" s="87">
        <f t="shared" si="94"/>
        <v>106.46793726535149</v>
      </c>
      <c r="BH165" s="87">
        <f t="shared" si="101"/>
        <v>-4.5999086793032546</v>
      </c>
      <c r="BI165" s="107">
        <f t="shared" si="102"/>
        <v>-106.46793726535149</v>
      </c>
      <c r="BJ165" s="91"/>
      <c r="BK165" s="91"/>
      <c r="BL165" s="91"/>
      <c r="BM165" s="91"/>
      <c r="BN165" s="42"/>
      <c r="BO165" s="42"/>
      <c r="BP165" s="42"/>
    </row>
    <row r="166" spans="1:68" s="87" customFormat="1">
      <c r="A166" s="87">
        <v>102</v>
      </c>
      <c r="B166" s="87">
        <f t="shared" si="52"/>
        <v>10964.781961431861</v>
      </c>
      <c r="C166" s="87" t="str">
        <f t="shared" si="53"/>
        <v>68893.7569164964j</v>
      </c>
      <c r="D166" s="87">
        <f t="shared" si="54"/>
        <v>0.99762515667236062</v>
      </c>
      <c r="E166" s="87" t="str">
        <f t="shared" si="55"/>
        <v>-0.0765486187961071j</v>
      </c>
      <c r="F166" s="87" t="str">
        <f t="shared" si="56"/>
        <v>0.997625156672361-0.0765486187961071j</v>
      </c>
      <c r="G166" s="87">
        <f t="shared" si="57"/>
        <v>4.8424807402498021E-3</v>
      </c>
      <c r="H166" s="87">
        <f t="shared" si="58"/>
        <v>-4.3877557640359752</v>
      </c>
      <c r="J166" s="87">
        <f t="shared" si="59"/>
        <v>14.187192118226601</v>
      </c>
      <c r="K166" s="87" t="str">
        <f t="shared" si="60"/>
        <v>1+3.44985487759356j</v>
      </c>
      <c r="L166" s="87">
        <f t="shared" si="61"/>
        <v>0.33966584571210112</v>
      </c>
      <c r="M166" s="87" t="str">
        <f t="shared" si="62"/>
        <v>0.247559364446987j</v>
      </c>
      <c r="N166" s="87" t="str">
        <f t="shared" si="63"/>
        <v>0.339665845712101+0.247559364446987j</v>
      </c>
      <c r="O166" s="87" t="str">
        <f t="shared" si="64"/>
        <v>6.75715888675568+5.23177982288875j</v>
      </c>
      <c r="P166" s="87" t="str">
        <f t="shared" si="65"/>
        <v>95.865111299785+74.2242654675842j</v>
      </c>
      <c r="R166" s="87">
        <f t="shared" si="66"/>
        <v>23.645320197044338</v>
      </c>
      <c r="S166" s="87" t="str">
        <f t="shared" si="67"/>
        <v>1+0.00516703176873723j</v>
      </c>
      <c r="T166" s="87" t="str">
        <f t="shared" si="68"/>
        <v>0.339665845712101+0.247559364446987j</v>
      </c>
      <c r="U166" s="87" t="str">
        <f t="shared" si="69"/>
        <v>1.92996625281601-1.39140921334526j</v>
      </c>
      <c r="V166" s="87" t="str">
        <f t="shared" si="70"/>
        <v>45.6346700173244-32.9003163746663j</v>
      </c>
      <c r="X166" s="87" t="str">
        <f t="shared" si="71"/>
        <v>7.6978867001969+5.0683709341685j</v>
      </c>
      <c r="Y166" s="87">
        <f t="shared" si="72"/>
        <v>19.291421335707717</v>
      </c>
      <c r="Z166" s="87">
        <f t="shared" si="73"/>
        <v>-146.63866541322218</v>
      </c>
      <c r="AB166" s="87" t="str">
        <f t="shared" si="74"/>
        <v>17.3358296793135-12.4982667969379j</v>
      </c>
      <c r="AC166" s="87">
        <f t="shared" si="75"/>
        <v>26.596668259669084</v>
      </c>
      <c r="AD166" s="87">
        <f t="shared" si="76"/>
        <v>144.21028044752688</v>
      </c>
      <c r="AF166" s="87" t="str">
        <f t="shared" si="77"/>
        <v>0.86281660834747-1.93970581564625j</v>
      </c>
      <c r="AG166" s="87">
        <f t="shared" si="78"/>
        <v>6.538789964873029</v>
      </c>
      <c r="AH166" s="87">
        <f t="shared" si="79"/>
        <v>113.98037272035641</v>
      </c>
      <c r="AJ166" s="87" t="str">
        <f t="shared" si="80"/>
        <v>157499.814561076-170.899374535533j</v>
      </c>
      <c r="AK166" s="87" t="str">
        <f t="shared" si="81"/>
        <v>30000-0.0000620043812248467j</v>
      </c>
      <c r="AL166" s="87" t="str">
        <f t="shared" si="95"/>
        <v>10000-322557.851637514j</v>
      </c>
      <c r="AM166" s="87" t="str">
        <f t="shared" si="96"/>
        <v>962.699032329839-100124.744148817j</v>
      </c>
      <c r="AN166" s="87" t="str">
        <f t="shared" si="97"/>
        <v>10962.6990323298-100124.744148817j</v>
      </c>
      <c r="AO166" s="87" t="str">
        <f t="shared" si="98"/>
        <v>26849.8058526499-7699.99022253226j</v>
      </c>
      <c r="AP166" s="87" t="str">
        <f t="shared" si="99"/>
        <v>0.160000025318828+0.000145834022465508j</v>
      </c>
      <c r="AQ166" s="87" t="str">
        <f t="shared" si="82"/>
        <v>1+9.42466594617671j</v>
      </c>
      <c r="AR166" s="87">
        <f t="shared" si="83"/>
        <v>3.506993552849211E-8</v>
      </c>
      <c r="AS166" s="87" t="str">
        <f t="shared" si="84"/>
        <v>0.000524541908535682j</v>
      </c>
      <c r="AT166" s="87" t="str">
        <f t="shared" si="85"/>
        <v>3.50699355284921E-08+0.000524541908535682j</v>
      </c>
      <c r="AU166" s="87" t="str">
        <f t="shared" si="86"/>
        <v>5.39026488192687-0.571567226334813j</v>
      </c>
      <c r="AW166" s="87" t="str">
        <f t="shared" si="100"/>
        <v>0.856295605040398-0.131691066254771j</v>
      </c>
      <c r="AX166" s="87">
        <f t="shared" si="87"/>
        <v>-1.2460029245593489</v>
      </c>
      <c r="AY166" s="87">
        <f t="shared" si="88"/>
        <v>171.25689151840271</v>
      </c>
      <c r="AZ166" s="87" t="str">
        <f t="shared" si="89"/>
        <v>13.1986846832997-12.9851848237202j</v>
      </c>
      <c r="BA166" s="87">
        <f t="shared" si="90"/>
        <v>25.350665335109749</v>
      </c>
      <c r="BB166" s="87">
        <f t="shared" si="91"/>
        <v>135.46717196592954</v>
      </c>
      <c r="BD166" s="87" t="str">
        <f t="shared" si="92"/>
        <v>0.483384142600766-1.77458680414479j</v>
      </c>
      <c r="BE166" s="87">
        <f t="shared" si="93"/>
        <v>5.2927870403136881</v>
      </c>
      <c r="BF166" s="87">
        <f t="shared" si="94"/>
        <v>105.2372642387591</v>
      </c>
      <c r="BH166" s="87">
        <f t="shared" si="101"/>
        <v>-4.2927870403136881</v>
      </c>
      <c r="BI166" s="107">
        <f t="shared" si="102"/>
        <v>-105.2372642387591</v>
      </c>
      <c r="BJ166" s="91"/>
      <c r="BK166" s="91"/>
      <c r="BL166" s="91"/>
      <c r="BM166" s="91"/>
      <c r="BN166" s="42"/>
      <c r="BO166" s="42"/>
      <c r="BP166" s="42"/>
    </row>
    <row r="167" spans="1:68" s="87" customFormat="1">
      <c r="A167" s="87">
        <v>103</v>
      </c>
      <c r="B167" s="87">
        <f t="shared" si="52"/>
        <v>11481.536214968835</v>
      </c>
      <c r="C167" s="87" t="str">
        <f t="shared" si="53"/>
        <v>72140.6196497425j</v>
      </c>
      <c r="D167" s="87">
        <f t="shared" si="54"/>
        <v>0.99739603607198735</v>
      </c>
      <c r="E167" s="87" t="str">
        <f t="shared" si="55"/>
        <v>-0.0801562440552694j</v>
      </c>
      <c r="F167" s="87" t="str">
        <f t="shared" si="56"/>
        <v>0.997396036071987-0.0801562440552694j</v>
      </c>
      <c r="G167" s="87">
        <f t="shared" si="57"/>
        <v>5.3119770073852901E-3</v>
      </c>
      <c r="H167" s="87">
        <f t="shared" si="58"/>
        <v>-4.594729825208125</v>
      </c>
      <c r="J167" s="87">
        <f t="shared" si="59"/>
        <v>14.187192118226601</v>
      </c>
      <c r="K167" s="87" t="str">
        <f t="shared" si="60"/>
        <v>1+3.61244152896086j</v>
      </c>
      <c r="L167" s="87">
        <f t="shared" si="61"/>
        <v>0.27595799765466855</v>
      </c>
      <c r="M167" s="87" t="str">
        <f t="shared" si="62"/>
        <v>0.259226477849777j</v>
      </c>
      <c r="N167" s="87" t="str">
        <f t="shared" si="63"/>
        <v>0.275957997654669+0.259226477849777j</v>
      </c>
      <c r="O167" s="87" t="str">
        <f t="shared" si="64"/>
        <v>8.4575408715664+5.14579396003291j</v>
      </c>
      <c r="P167" s="87" t="str">
        <f t="shared" si="65"/>
        <v>119.988757192666+73.004367511797j</v>
      </c>
      <c r="R167" s="87">
        <f t="shared" si="66"/>
        <v>23.645320197044338</v>
      </c>
      <c r="S167" s="87" t="str">
        <f t="shared" si="67"/>
        <v>1+0.00541054647373069j</v>
      </c>
      <c r="T167" s="87" t="str">
        <f t="shared" si="68"/>
        <v>0.275957997654669+0.259226477849777j</v>
      </c>
      <c r="U167" s="87" t="str">
        <f t="shared" si="69"/>
        <v>1.93483268291628-1.79791605738554j</v>
      </c>
      <c r="V167" s="87" t="str">
        <f t="shared" si="70"/>
        <v>45.7497383152618-42.5123008642886j</v>
      </c>
      <c r="X167" s="87" t="str">
        <f t="shared" si="71"/>
        <v>9.53719259238068+4.8014474518346j</v>
      </c>
      <c r="Y167" s="87">
        <f t="shared" si="72"/>
        <v>20.56950336260963</v>
      </c>
      <c r="Z167" s="87">
        <f t="shared" si="73"/>
        <v>-153.2772807869552</v>
      </c>
      <c r="AB167" s="87" t="str">
        <f t="shared" si="74"/>
        <v>17.3795421552397-16.1496951063578j</v>
      </c>
      <c r="AC167" s="87">
        <f t="shared" si="75"/>
        <v>27.504012640653109</v>
      </c>
      <c r="AD167" s="87">
        <f t="shared" si="76"/>
        <v>137.10065826459868</v>
      </c>
      <c r="AF167" s="87" t="str">
        <f t="shared" si="77"/>
        <v>0.787475308582294-1.89146361760006j</v>
      </c>
      <c r="AG167" s="87">
        <f t="shared" si="78"/>
        <v>6.2301677497432637</v>
      </c>
      <c r="AH167" s="87">
        <f t="shared" si="79"/>
        <v>112.60348525603864</v>
      </c>
      <c r="AJ167" s="87" t="str">
        <f t="shared" si="80"/>
        <v>157499.796670286-178.953593592419j</v>
      </c>
      <c r="AK167" s="87" t="str">
        <f t="shared" si="81"/>
        <v>30000-0.0000649265576847684j</v>
      </c>
      <c r="AL167" s="87" t="str">
        <f t="shared" si="95"/>
        <v>10000-308040.356876829j</v>
      </c>
      <c r="AM167" s="87" t="str">
        <f t="shared" si="96"/>
        <v>962.656594727669-95620.2838510599j</v>
      </c>
      <c r="AN167" s="87" t="str">
        <f t="shared" si="97"/>
        <v>10962.6565947277-95620.2838510599j</v>
      </c>
      <c r="AO167" s="87" t="str">
        <f t="shared" si="98"/>
        <v>26593.125855501-7952.76231593148j</v>
      </c>
      <c r="AP167" s="87" t="str">
        <f t="shared" si="99"/>
        <v>0.160000027761543+0.000152706967756653j</v>
      </c>
      <c r="AQ167" s="87" t="str">
        <f t="shared" si="82"/>
        <v>1+9.86883676808477j</v>
      </c>
      <c r="AR167" s="87">
        <f t="shared" si="83"/>
        <v>2.8805600032820268E-8</v>
      </c>
      <c r="AS167" s="87" t="str">
        <f t="shared" si="84"/>
        <v>0.000549262807076816j</v>
      </c>
      <c r="AT167" s="87" t="str">
        <f t="shared" si="85"/>
        <v>2.88056000328203E-08+0.000549262807076816j</v>
      </c>
      <c r="AU167" s="87" t="str">
        <f t="shared" si="86"/>
        <v>5.39025529740981-0.545903939969295j</v>
      </c>
      <c r="AW167" s="87" t="str">
        <f t="shared" si="100"/>
        <v>0.856115532876921-0.12947274543154j</v>
      </c>
      <c r="AX167" s="87">
        <f t="shared" si="87"/>
        <v>-1.2511422851185996</v>
      </c>
      <c r="AY167" s="87">
        <f t="shared" si="88"/>
        <v>171.40016722002235</v>
      </c>
      <c r="AZ167" s="87" t="str">
        <f t="shared" si="89"/>
        <v>12.7879506300875-16.0761818689614j</v>
      </c>
      <c r="BA167" s="87">
        <f t="shared" si="90"/>
        <v>26.252870355534515</v>
      </c>
      <c r="BB167" s="87">
        <f t="shared" si="91"/>
        <v>128.50082548462098</v>
      </c>
      <c r="BD167" s="87" t="str">
        <f t="shared" si="92"/>
        <v>0.429276855979796-1.72126797306068j</v>
      </c>
      <c r="BE167" s="87">
        <f t="shared" si="93"/>
        <v>4.9790254646246517</v>
      </c>
      <c r="BF167" s="87">
        <f t="shared" si="94"/>
        <v>104.00365247606101</v>
      </c>
      <c r="BH167" s="87">
        <f t="shared" si="101"/>
        <v>-3.9790254646246517</v>
      </c>
      <c r="BI167" s="107">
        <f t="shared" si="102"/>
        <v>-104.00365247606101</v>
      </c>
      <c r="BJ167" s="91"/>
      <c r="BK167" s="91"/>
      <c r="BL167" s="91"/>
      <c r="BM167" s="91"/>
      <c r="BN167" s="42"/>
      <c r="BO167" s="42"/>
      <c r="BP167" s="42"/>
    </row>
    <row r="168" spans="1:68" s="87" customFormat="1">
      <c r="A168" s="87">
        <v>104</v>
      </c>
      <c r="B168" s="87">
        <f t="shared" si="52"/>
        <v>12022.644346174135</v>
      </c>
      <c r="C168" s="87" t="str">
        <f t="shared" si="53"/>
        <v>75540.502309327j</v>
      </c>
      <c r="D168" s="87">
        <f t="shared" si="54"/>
        <v>0.99714481032939073</v>
      </c>
      <c r="E168" s="87" t="str">
        <f t="shared" si="55"/>
        <v>-0.0839338914548078j</v>
      </c>
      <c r="F168" s="87" t="str">
        <f t="shared" si="56"/>
        <v>0.997144810329391-0.0839338914548078j</v>
      </c>
      <c r="G168" s="87">
        <f t="shared" si="57"/>
        <v>5.8272344814552278E-3</v>
      </c>
      <c r="H168" s="87">
        <f t="shared" si="58"/>
        <v>-4.8114856113568809</v>
      </c>
      <c r="J168" s="87">
        <f t="shared" si="59"/>
        <v>14.187192118226601</v>
      </c>
      <c r="K168" s="87" t="str">
        <f t="shared" si="60"/>
        <v>1+3.78269065313955j</v>
      </c>
      <c r="L168" s="87">
        <f t="shared" si="61"/>
        <v>0.20610373133649151</v>
      </c>
      <c r="M168" s="87" t="str">
        <f t="shared" si="62"/>
        <v>0.271443445367185j</v>
      </c>
      <c r="N168" s="87" t="str">
        <f t="shared" si="63"/>
        <v>0.206103731336492+0.271443445367185j</v>
      </c>
      <c r="O168" s="87" t="str">
        <f t="shared" si="64"/>
        <v>10.6136984735112+4.37484448027361j</v>
      </c>
      <c r="P168" s="87" t="str">
        <f t="shared" si="65"/>
        <v>150.578579328632+62.0667591290049j</v>
      </c>
      <c r="R168" s="87">
        <f t="shared" si="66"/>
        <v>23.645320197044338</v>
      </c>
      <c r="S168" s="87" t="str">
        <f t="shared" si="67"/>
        <v>1+0.00566553767319952j</v>
      </c>
      <c r="T168" s="87" t="str">
        <f t="shared" si="68"/>
        <v>0.206103731336492+0.271443445367185j</v>
      </c>
      <c r="U168" s="87" t="str">
        <f t="shared" si="69"/>
        <v>1.78754375218956-2.32674825465817j</v>
      </c>
      <c r="V168" s="87" t="str">
        <f t="shared" si="70"/>
        <v>42.2670443867482-55.0167074993065j</v>
      </c>
      <c r="X168" s="87" t="str">
        <f t="shared" si="71"/>
        <v>11.8035804276809+3.74191475250064j</v>
      </c>
      <c r="Y168" s="87">
        <f t="shared" si="72"/>
        <v>21.856170434515093</v>
      </c>
      <c r="Z168" s="87">
        <f t="shared" si="73"/>
        <v>-162.41059203423748</v>
      </c>
      <c r="AB168" s="87" t="str">
        <f t="shared" si="74"/>
        <v>16.0565263703776-20.8999050582048j</v>
      </c>
      <c r="AC168" s="87">
        <f t="shared" si="75"/>
        <v>28.417460773148505</v>
      </c>
      <c r="AD168" s="87">
        <f t="shared" si="76"/>
        <v>127.53357179338153</v>
      </c>
      <c r="AF168" s="87" t="str">
        <f t="shared" si="77"/>
        <v>0.715858979395432-1.84156209015867j</v>
      </c>
      <c r="AG168" s="87">
        <f t="shared" si="78"/>
        <v>5.9148811712230103</v>
      </c>
      <c r="AH168" s="87">
        <f t="shared" si="79"/>
        <v>111.24228781691396</v>
      </c>
      <c r="AJ168" s="87" t="str">
        <f t="shared" si="80"/>
        <v>157499.777053429-187.387393287513j</v>
      </c>
      <c r="AK168" s="87" t="str">
        <f t="shared" si="81"/>
        <v>30000-0.0000679864520783943j</v>
      </c>
      <c r="AL168" s="87" t="str">
        <f t="shared" si="95"/>
        <v>10000-294176.257012769j</v>
      </c>
      <c r="AM168" s="87" t="str">
        <f t="shared" si="96"/>
        <v>962.610067122313-91318.6468119624j</v>
      </c>
      <c r="AN168" s="87" t="str">
        <f t="shared" si="97"/>
        <v>10962.6100671223-91318.6468119624j</v>
      </c>
      <c r="AO168" s="87" t="str">
        <f t="shared" si="98"/>
        <v>26319.6329762457-8204.70509046715j</v>
      </c>
      <c r="AP168" s="87" t="str">
        <f t="shared" si="99"/>
        <v>0.160000030439927+0.000159903824914413j</v>
      </c>
      <c r="AQ168" s="87" t="str">
        <f t="shared" si="82"/>
        <v>1+10.3339407159159j</v>
      </c>
      <c r="AR168" s="87">
        <f t="shared" si="83"/>
        <v>2.1936892748490364E-8</v>
      </c>
      <c r="AS168" s="87" t="str">
        <f t="shared" si="84"/>
        <v>0.000575148765672708j</v>
      </c>
      <c r="AT168" s="87" t="str">
        <f t="shared" si="85"/>
        <v>2.19368927484904E-08+0.000575148765672708j</v>
      </c>
      <c r="AU168" s="87" t="str">
        <f t="shared" si="86"/>
        <v>5.39024655475638-0.521398588743717j</v>
      </c>
      <c r="AW168" s="87" t="str">
        <f t="shared" si="100"/>
        <v>0.85591845364838-0.127527399132721j</v>
      </c>
      <c r="AX168" s="87">
        <f t="shared" si="87"/>
        <v>-1.2559957704657672</v>
      </c>
      <c r="AY168" s="87">
        <f t="shared" si="88"/>
        <v>171.52556903264409</v>
      </c>
      <c r="AZ168" s="87" t="str">
        <f t="shared" si="89"/>
        <v>11.0777666877044-19.9362614659368j</v>
      </c>
      <c r="BA168" s="87">
        <f t="shared" si="90"/>
        <v>27.161465002682736</v>
      </c>
      <c r="BB168" s="87">
        <f t="shared" si="91"/>
        <v>119.05914082602568</v>
      </c>
      <c r="BD168" s="87" t="str">
        <f t="shared" si="92"/>
        <v>0.377867286975096-1.66751861029419j</v>
      </c>
      <c r="BE168" s="87">
        <f t="shared" si="93"/>
        <v>4.6588854007572413</v>
      </c>
      <c r="BF168" s="87">
        <f t="shared" si="94"/>
        <v>102.76785684955814</v>
      </c>
      <c r="BH168" s="87">
        <f t="shared" si="101"/>
        <v>-3.6588854007572413</v>
      </c>
      <c r="BI168" s="107">
        <f t="shared" si="102"/>
        <v>-102.76785684955814</v>
      </c>
      <c r="BJ168" s="91"/>
      <c r="BK168" s="91"/>
      <c r="BL168" s="91"/>
      <c r="BM168" s="91"/>
      <c r="BN168" s="42"/>
      <c r="BO168" s="42"/>
      <c r="BP168" s="42"/>
    </row>
    <row r="169" spans="1:68" s="87" customFormat="1">
      <c r="A169" s="87">
        <v>105</v>
      </c>
      <c r="B169" s="87">
        <f t="shared" si="52"/>
        <v>12589.254117941677</v>
      </c>
      <c r="C169" s="87" t="str">
        <f t="shared" si="53"/>
        <v>79100.6165022012j</v>
      </c>
      <c r="D169" s="87">
        <f t="shared" si="54"/>
        <v>0.99686934678032368</v>
      </c>
      <c r="E169" s="87" t="str">
        <f t="shared" si="55"/>
        <v>-0.0878895738913347j</v>
      </c>
      <c r="F169" s="87" t="str">
        <f t="shared" si="56"/>
        <v>0.996869346780324-0.0878895738913347j</v>
      </c>
      <c r="G169" s="87">
        <f t="shared" si="57"/>
        <v>6.3927619771232498E-3</v>
      </c>
      <c r="H169" s="87">
        <f t="shared" si="58"/>
        <v>-5.0384881336803353</v>
      </c>
      <c r="J169" s="87">
        <f t="shared" si="59"/>
        <v>14.187192118226601</v>
      </c>
      <c r="K169" s="87" t="str">
        <f t="shared" si="60"/>
        <v>1+3.96096337134773j</v>
      </c>
      <c r="L169" s="87">
        <f t="shared" si="61"/>
        <v>0.12951005141103056</v>
      </c>
      <c r="M169" s="87" t="str">
        <f t="shared" si="62"/>
        <v>0.284236180825274j</v>
      </c>
      <c r="N169" s="87" t="str">
        <f t="shared" si="63"/>
        <v>0.129510051411031+0.284236180825274j</v>
      </c>
      <c r="O169" s="87" t="str">
        <f t="shared" si="64"/>
        <v>12.8671564183531+2.34462089702915j</v>
      </c>
      <c r="P169" s="87" t="str">
        <f t="shared" si="65"/>
        <v>182.548820122448+33.2635871105613j</v>
      </c>
      <c r="R169" s="87">
        <f t="shared" si="66"/>
        <v>23.645320197044338</v>
      </c>
      <c r="S169" s="87" t="str">
        <f t="shared" si="67"/>
        <v>1+0.00593254623766509j</v>
      </c>
      <c r="T169" s="87" t="str">
        <f t="shared" si="68"/>
        <v>0.129510051411031+0.284236180825274j</v>
      </c>
      <c r="U169" s="87" t="str">
        <f t="shared" si="69"/>
        <v>1.34473330194602-2.90548345581138j</v>
      </c>
      <c r="V169" s="87" t="str">
        <f t="shared" si="70"/>
        <v>31.7966495041423-68.701086639875j</v>
      </c>
      <c r="X169" s="87" t="str">
        <f t="shared" si="71"/>
        <v>14.0481329879891+1.30036281412362j</v>
      </c>
      <c r="Y169" s="87">
        <f t="shared" si="72"/>
        <v>22.989425098143855</v>
      </c>
      <c r="Z169" s="87">
        <f t="shared" si="73"/>
        <v>-174.71149687734757</v>
      </c>
      <c r="AB169" s="87" t="str">
        <f t="shared" si="74"/>
        <v>12.0790026523119-26.0983663587464j</v>
      </c>
      <c r="AC169" s="87">
        <f t="shared" si="75"/>
        <v>29.175197048526861</v>
      </c>
      <c r="AD169" s="87">
        <f t="shared" si="76"/>
        <v>114.83592672455424</v>
      </c>
      <c r="AF169" s="87" t="str">
        <f t="shared" si="77"/>
        <v>0.647983147138628-1.79032040512718j</v>
      </c>
      <c r="AG169" s="87">
        <f t="shared" si="78"/>
        <v>5.593235029021141</v>
      </c>
      <c r="AH169" s="87">
        <f t="shared" si="79"/>
        <v>109.8970631205337</v>
      </c>
      <c r="AJ169" s="87" t="str">
        <f t="shared" si="80"/>
        <v>157499.75554398-196.218662258978j</v>
      </c>
      <c r="AK169" s="87" t="str">
        <f t="shared" si="81"/>
        <v>30000-0.0000711905548519812j</v>
      </c>
      <c r="AL169" s="87" t="str">
        <f t="shared" si="95"/>
        <v>10000-280936.144430731j</v>
      </c>
      <c r="AM169" s="87" t="str">
        <f t="shared" si="96"/>
        <v>962.559055786656-87210.7086554885j</v>
      </c>
      <c r="AN169" s="87" t="str">
        <f t="shared" si="97"/>
        <v>10962.5590557867-87210.7086554885j</v>
      </c>
      <c r="AO169" s="87" t="str">
        <f t="shared" si="98"/>
        <v>26028.8951694953-8454.61986076886j</v>
      </c>
      <c r="AP169" s="87" t="str">
        <f t="shared" si="99"/>
        <v>0.160000033376716+0.000167439859425008j</v>
      </c>
      <c r="AQ169" s="87" t="str">
        <f t="shared" si="82"/>
        <v>1+10.8209643375011j</v>
      </c>
      <c r="AR169" s="87">
        <f t="shared" si="83"/>
        <v>1.4405504975532707E-8</v>
      </c>
      <c r="AS169" s="87" t="str">
        <f t="shared" si="84"/>
        <v>0.000602254691912129j</v>
      </c>
      <c r="AT169" s="87" t="str">
        <f t="shared" si="85"/>
        <v>1.44055049755327E-08+0.000602254691912129j</v>
      </c>
      <c r="AU169" s="87" t="str">
        <f t="shared" si="86"/>
        <v>5.39023857974997-0.497999193562248j</v>
      </c>
      <c r="AW169" s="87" t="str">
        <f t="shared" si="100"/>
        <v>0.855702718459145-0.125850657179177j</v>
      </c>
      <c r="AX169" s="87">
        <f t="shared" si="87"/>
        <v>-1.2606035641744051</v>
      </c>
      <c r="AY169" s="87">
        <f t="shared" si="88"/>
        <v>171.63332594614934</v>
      </c>
      <c r="AZ169" s="87" t="str">
        <f t="shared" si="89"/>
        <v>7.05153884830733-23.8525934623845j</v>
      </c>
      <c r="BA169" s="87">
        <f t="shared" si="90"/>
        <v>27.914593484352466</v>
      </c>
      <c r="BB169" s="87">
        <f t="shared" si="91"/>
        <v>106.46925267070348</v>
      </c>
      <c r="BD169" s="87" t="str">
        <f t="shared" si="92"/>
        <v>0.329167940975689-1.61353114248863j</v>
      </c>
      <c r="BE169" s="87">
        <f t="shared" si="93"/>
        <v>4.3326314648467168</v>
      </c>
      <c r="BF169" s="87">
        <f t="shared" si="94"/>
        <v>101.53038906668301</v>
      </c>
      <c r="BH169" s="87">
        <f t="shared" si="101"/>
        <v>-3.3326314648467168</v>
      </c>
      <c r="BI169" s="107">
        <f t="shared" si="102"/>
        <v>-101.53038906668301</v>
      </c>
      <c r="BJ169" s="91"/>
      <c r="BK169" s="91"/>
      <c r="BL169" s="91"/>
      <c r="BM169" s="91"/>
      <c r="BN169" s="42"/>
      <c r="BO169" s="42"/>
      <c r="BP169" s="42"/>
    </row>
    <row r="170" spans="1:68" s="87" customFormat="1">
      <c r="A170" s="87">
        <v>106</v>
      </c>
      <c r="B170" s="87">
        <f t="shared" si="52"/>
        <v>13182.567385564085</v>
      </c>
      <c r="C170" s="87" t="str">
        <f t="shared" si="53"/>
        <v>82828.5137078811j</v>
      </c>
      <c r="D170" s="87">
        <f t="shared" si="54"/>
        <v>0.99656730700493945</v>
      </c>
      <c r="E170" s="87" t="str">
        <f t="shared" si="55"/>
        <v>-0.0920316818976457j</v>
      </c>
      <c r="F170" s="87" t="str">
        <f t="shared" si="56"/>
        <v>0.996567307004939-0.0920316818976457j</v>
      </c>
      <c r="G170" s="87">
        <f t="shared" si="57"/>
        <v>7.0135222287379109E-3</v>
      </c>
      <c r="H170" s="87">
        <f t="shared" si="58"/>
        <v>-5.2762249034627597</v>
      </c>
      <c r="J170" s="87">
        <f t="shared" si="59"/>
        <v>14.187192118226601</v>
      </c>
      <c r="K170" s="87" t="str">
        <f t="shared" si="60"/>
        <v>1+4.14763782392215j</v>
      </c>
      <c r="L170" s="87">
        <f t="shared" si="61"/>
        <v>4.5526751410390198E-2</v>
      </c>
      <c r="M170" s="87" t="str">
        <f t="shared" si="62"/>
        <v>0.297631819331103j</v>
      </c>
      <c r="N170" s="87" t="str">
        <f t="shared" si="63"/>
        <v>0.0455267514103902+0.297631819331103j</v>
      </c>
      <c r="O170" s="87" t="str">
        <f t="shared" si="64"/>
        <v>14.1190454948769-1.20015973562751j</v>
      </c>
      <c r="P170" s="87" t="str">
        <f t="shared" si="65"/>
        <v>200.3096109618-17.0268967419075j</v>
      </c>
      <c r="R170" s="87">
        <f t="shared" si="66"/>
        <v>23.645320197044338</v>
      </c>
      <c r="S170" s="87" t="str">
        <f t="shared" si="67"/>
        <v>1+0.00621213852809108j</v>
      </c>
      <c r="T170" s="87" t="str">
        <f t="shared" si="68"/>
        <v>0.0455267514103902+0.297631819331103j</v>
      </c>
      <c r="U170" s="87" t="str">
        <f t="shared" si="69"/>
        <v>0.522579396227949-3.27992033892635j</v>
      </c>
      <c r="V170" s="87" t="str">
        <f t="shared" si="70"/>
        <v>12.356557152188-77.5547666347117j</v>
      </c>
      <c r="X170" s="87" t="str">
        <f t="shared" si="71"/>
        <v>15.0475402577927-2.68981988964542j</v>
      </c>
      <c r="Y170" s="87">
        <f t="shared" si="72"/>
        <v>23.685910613417455</v>
      </c>
      <c r="Z170" s="87">
        <f t="shared" si="73"/>
        <v>169.86514752055569</v>
      </c>
      <c r="AB170" s="87" t="str">
        <f t="shared" si="74"/>
        <v>4.69404446513391-29.4617277760058j</v>
      </c>
      <c r="AC170" s="87">
        <f t="shared" si="75"/>
        <v>29.494034046612036</v>
      </c>
      <c r="AD170" s="87">
        <f t="shared" si="76"/>
        <v>99.052667381858683</v>
      </c>
      <c r="AF170" s="87" t="str">
        <f t="shared" si="77"/>
        <v>0.583832073994778-1.73804360064575j</v>
      </c>
      <c r="AG170" s="87">
        <f t="shared" si="78"/>
        <v>5.2655319853249232</v>
      </c>
      <c r="AH170" s="87">
        <f t="shared" si="79"/>
        <v>108.56788810856942</v>
      </c>
      <c r="AJ170" s="87" t="str">
        <f t="shared" si="80"/>
        <v>157499.731959344-205.466132144419j</v>
      </c>
      <c r="AK170" s="87" t="str">
        <f t="shared" si="81"/>
        <v>30000-0.0000745456623370929j</v>
      </c>
      <c r="AL170" s="87" t="str">
        <f t="shared" si="95"/>
        <v>10000-268291.935076795j</v>
      </c>
      <c r="AM170" s="87" t="str">
        <f t="shared" si="96"/>
        <v>962.503129183017-83287.7558628901j</v>
      </c>
      <c r="AN170" s="87" t="str">
        <f t="shared" si="97"/>
        <v>10962.503129183-83287.7558628901j</v>
      </c>
      <c r="AO170" s="87" t="str">
        <f t="shared" si="98"/>
        <v>25720.5794885374-8701.20970315553j</v>
      </c>
      <c r="AP170" s="87" t="str">
        <f t="shared" si="99"/>
        <v>0.160000036596841+0.000175331056213419j</v>
      </c>
      <c r="AQ170" s="87" t="str">
        <f t="shared" si="82"/>
        <v>1+11.3309406752381j</v>
      </c>
      <c r="AR170" s="87">
        <f t="shared" si="83"/>
        <v>6.1475024957850103E-9</v>
      </c>
      <c r="AS170" s="87" t="str">
        <f t="shared" si="84"/>
        <v>0.000630638081098791j</v>
      </c>
      <c r="AT170" s="87" t="str">
        <f t="shared" si="85"/>
        <v>6.14750249578501E-09+0.000630638081098791j</v>
      </c>
      <c r="AU170" s="87" t="str">
        <f t="shared" si="86"/>
        <v>5.39023130469045-0.475656121204977j</v>
      </c>
      <c r="AW170" s="87" t="str">
        <f t="shared" si="100"/>
        <v>0.855466524893299-0.124438683338029j</v>
      </c>
      <c r="AX170" s="87">
        <f t="shared" si="87"/>
        <v>-1.2650039114973017</v>
      </c>
      <c r="AY170" s="87">
        <f t="shared" si="88"/>
        <v>171.7236356710178</v>
      </c>
      <c r="AZ170" s="87" t="str">
        <f t="shared" si="89"/>
        <v>0.34941929297313-25.7876425906635j</v>
      </c>
      <c r="BA170" s="87">
        <f t="shared" si="90"/>
        <v>28.229030135114741</v>
      </c>
      <c r="BB170" s="87">
        <f t="shared" si="91"/>
        <v>90.776303052876486</v>
      </c>
      <c r="BD170" s="87" t="str">
        <f t="shared" si="92"/>
        <v>0.283168938213115-1.55948941373588j</v>
      </c>
      <c r="BE170" s="87">
        <f t="shared" si="93"/>
        <v>4.0005280738276348</v>
      </c>
      <c r="BF170" s="87">
        <f t="shared" si="94"/>
        <v>100.29152377958717</v>
      </c>
      <c r="BH170" s="87">
        <f t="shared" si="101"/>
        <v>-3.0005280738276348</v>
      </c>
      <c r="BI170" s="107">
        <f t="shared" si="102"/>
        <v>-100.29152377958717</v>
      </c>
      <c r="BJ170" s="91"/>
      <c r="BK170" s="91"/>
      <c r="BL170" s="91"/>
      <c r="BM170" s="91"/>
      <c r="BN170" s="42"/>
      <c r="BO170" s="42"/>
      <c r="BP170" s="42"/>
    </row>
    <row r="171" spans="1:68" s="87" customFormat="1">
      <c r="A171" s="87">
        <v>107</v>
      </c>
      <c r="B171" s="87">
        <f t="shared" si="52"/>
        <v>13803.842646028861</v>
      </c>
      <c r="C171" s="87" t="str">
        <f t="shared" si="53"/>
        <v>86732.1012961475j</v>
      </c>
      <c r="D171" s="87">
        <f t="shared" si="54"/>
        <v>0.9962361269768627</v>
      </c>
      <c r="E171" s="87" t="str">
        <f t="shared" si="55"/>
        <v>-0.0963690014401639j</v>
      </c>
      <c r="F171" s="87" t="str">
        <f t="shared" si="56"/>
        <v>0.996236126976863-0.0963690014401639j</v>
      </c>
      <c r="G171" s="87">
        <f t="shared" si="57"/>
        <v>7.6949794888113328E-3</v>
      </c>
      <c r="H171" s="87">
        <f t="shared" si="58"/>
        <v>-5.5252070765946515</v>
      </c>
      <c r="J171" s="87">
        <f t="shared" si="59"/>
        <v>14.187192118226601</v>
      </c>
      <c r="K171" s="87" t="str">
        <f t="shared" si="60"/>
        <v>1+4.34310997240459j</v>
      </c>
      <c r="L171" s="87">
        <f t="shared" si="61"/>
        <v>-4.6559105880458862E-2</v>
      </c>
      <c r="M171" s="87" t="str">
        <f t="shared" si="62"/>
        <v>0.311658774829925j</v>
      </c>
      <c r="N171" s="87" t="str">
        <f t="shared" si="63"/>
        <v>-0.0465591058804589+0.311658774829925j</v>
      </c>
      <c r="O171" s="87" t="str">
        <f t="shared" si="64"/>
        <v>13.162368069659-5.17498051987453j</v>
      </c>
      <c r="P171" s="87" t="str">
        <f t="shared" si="65"/>
        <v>186.737044535064-73.4184428435401j</v>
      </c>
      <c r="R171" s="87">
        <f t="shared" si="66"/>
        <v>23.645320197044338</v>
      </c>
      <c r="S171" s="87" t="str">
        <f t="shared" si="67"/>
        <v>1+0.00650490759721106j</v>
      </c>
      <c r="T171" s="87" t="str">
        <f t="shared" si="68"/>
        <v>-0.0465591058804589+0.311658774829925j</v>
      </c>
      <c r="U171" s="87" t="str">
        <f t="shared" si="69"/>
        <v>-0.448461920447741-3.14164109288062j</v>
      </c>
      <c r="V171" s="87" t="str">
        <f t="shared" si="70"/>
        <v>-10.6040257051683-74.2851095853546j</v>
      </c>
      <c r="X171" s="87" t="str">
        <f t="shared" si="71"/>
        <v>13.596686440333-6.92433545338041j</v>
      </c>
      <c r="Y171" s="87">
        <f t="shared" si="72"/>
        <v>23.670133897562447</v>
      </c>
      <c r="Z171" s="87">
        <f t="shared" si="73"/>
        <v>153.01178488189612</v>
      </c>
      <c r="AB171" s="87" t="str">
        <f t="shared" si="74"/>
        <v>-4.02828777922733-28.219641053435j</v>
      </c>
      <c r="AC171" s="87">
        <f t="shared" si="75"/>
        <v>29.098635867273916</v>
      </c>
      <c r="AD171" s="87">
        <f t="shared" si="76"/>
        <v>81.876045082497242</v>
      </c>
      <c r="AF171" s="87" t="str">
        <f t="shared" si="77"/>
        <v>0.523362234115472-1.6850197804364j</v>
      </c>
      <c r="AG171" s="87">
        <f t="shared" si="78"/>
        <v>4.9320697833058063</v>
      </c>
      <c r="AH171" s="87">
        <f t="shared" si="79"/>
        <v>107.25464205186228</v>
      </c>
      <c r="AJ171" s="87" t="str">
        <f t="shared" si="80"/>
        <v>157499.706099313-215.149417300425j</v>
      </c>
      <c r="AK171" s="87" t="str">
        <f t="shared" si="81"/>
        <v>30000-0.0000780588911665329j</v>
      </c>
      <c r="AL171" s="87" t="str">
        <f t="shared" si="95"/>
        <v>10000-256216.808887683j</v>
      </c>
      <c r="AM171" s="87" t="str">
        <f t="shared" si="96"/>
        <v>962.441814350713-79541.4672895708j</v>
      </c>
      <c r="AN171" s="87" t="str">
        <f t="shared" si="97"/>
        <v>10962.4418143507-79541.4672895708j</v>
      </c>
      <c r="AO171" s="87" t="str">
        <f t="shared" si="98"/>
        <v>25394.469380123-8943.08653975735j</v>
      </c>
      <c r="AP171" s="87" t="str">
        <f t="shared" si="99"/>
        <v>0.160000040127639+0.000183594153549272j</v>
      </c>
      <c r="AQ171" s="87" t="str">
        <f t="shared" si="82"/>
        <v>1+11.864951457313j</v>
      </c>
      <c r="AR171" s="87">
        <f t="shared" si="83"/>
        <v>-2.9072171669542112E-9</v>
      </c>
      <c r="AS171" s="87" t="str">
        <f t="shared" si="84"/>
        <v>0.000660359138206582j</v>
      </c>
      <c r="AT171" s="87" t="str">
        <f t="shared" si="85"/>
        <v>-2.90721716695421E-09+0.000660359138206582j</v>
      </c>
      <c r="AU171" s="87" t="str">
        <f t="shared" si="86"/>
        <v>5.39022466781964-0.454321979049882j</v>
      </c>
      <c r="AW171" s="87" t="str">
        <f t="shared" si="100"/>
        <v>0.855207902686443-0.1232881619662j</v>
      </c>
      <c r="AX171" s="87">
        <f t="shared" si="87"/>
        <v>-1.2692334152388542</v>
      </c>
      <c r="AY171" s="87">
        <f t="shared" si="88"/>
        <v>171.79666449952575</v>
      </c>
      <c r="AZ171" s="87" t="str">
        <f t="shared" si="89"/>
        <v>-6.92417121991435-23.6370198437005j</v>
      </c>
      <c r="BA171" s="87">
        <f t="shared" si="90"/>
        <v>27.82940245203504</v>
      </c>
      <c r="BB171" s="87">
        <f t="shared" si="91"/>
        <v>73.672709582022961</v>
      </c>
      <c r="BD171" s="87" t="str">
        <f t="shared" si="92"/>
        <v>0.23984052697649-1.5055666002988j</v>
      </c>
      <c r="BE171" s="87">
        <f t="shared" si="93"/>
        <v>3.6628363680669249</v>
      </c>
      <c r="BF171" s="87">
        <f t="shared" si="94"/>
        <v>99.051306551388024</v>
      </c>
      <c r="BH171" s="87">
        <f t="shared" si="101"/>
        <v>-2.6628363680669249</v>
      </c>
      <c r="BI171" s="107">
        <f t="shared" si="102"/>
        <v>-99.051306551388024</v>
      </c>
      <c r="BJ171" s="91"/>
      <c r="BK171" s="91"/>
      <c r="BL171" s="91"/>
      <c r="BM171" s="91"/>
      <c r="BN171" s="42"/>
      <c r="BO171" s="42"/>
      <c r="BP171" s="42"/>
    </row>
    <row r="172" spans="1:68" s="87" customFormat="1">
      <c r="A172" s="87">
        <v>108</v>
      </c>
      <c r="B172" s="87">
        <f t="shared" si="52"/>
        <v>14454.397707459284</v>
      </c>
      <c r="C172" s="87" t="str">
        <f t="shared" si="53"/>
        <v>90819.6592996385j</v>
      </c>
      <c r="D172" s="87">
        <f t="shared" si="54"/>
        <v>0.9958729952970784</v>
      </c>
      <c r="E172" s="87" t="str">
        <f t="shared" si="55"/>
        <v>-0.100910732555154j</v>
      </c>
      <c r="F172" s="87" t="str">
        <f t="shared" si="56"/>
        <v>0.995872995297078-0.100910732555154j</v>
      </c>
      <c r="G172" s="87">
        <f t="shared" si="57"/>
        <v>8.4431524814666432E-3</v>
      </c>
      <c r="H172" s="87">
        <f t="shared" si="58"/>
        <v>-5.7859706638451334</v>
      </c>
      <c r="J172" s="87">
        <f t="shared" si="59"/>
        <v>14.187192118226601</v>
      </c>
      <c r="K172" s="87" t="str">
        <f t="shared" si="60"/>
        <v>1+4.5477944394294j</v>
      </c>
      <c r="L172" s="87">
        <f t="shared" si="61"/>
        <v>-0.14752924057303063</v>
      </c>
      <c r="M172" s="87" t="str">
        <f t="shared" si="62"/>
        <v>0.326346800374982j</v>
      </c>
      <c r="N172" s="87" t="str">
        <f t="shared" si="63"/>
        <v>-0.147529240573031+0.326346800374982j</v>
      </c>
      <c r="O172" s="87" t="str">
        <f t="shared" si="64"/>
        <v>10.420667571854-7.77502083741632j</v>
      </c>
      <c r="P172" s="87" t="str">
        <f t="shared" si="65"/>
        <v>147.840012842067-110.30571434364j</v>
      </c>
      <c r="R172" s="87">
        <f t="shared" si="66"/>
        <v>23.645320197044338</v>
      </c>
      <c r="S172" s="87" t="str">
        <f t="shared" si="67"/>
        <v>1+0.00681147444747289j</v>
      </c>
      <c r="T172" s="87" t="str">
        <f t="shared" si="68"/>
        <v>-0.147529240573031+0.326346800374982j</v>
      </c>
      <c r="U172" s="87" t="str">
        <f t="shared" si="69"/>
        <v>-1.13284174421233-2.5521093414427j</v>
      </c>
      <c r="V172" s="87" t="str">
        <f t="shared" si="70"/>
        <v>-26.7864057744787-60.3454425562806j</v>
      </c>
      <c r="X172" s="87" t="str">
        <f t="shared" si="71"/>
        <v>10.3403241985393-9.47953088805124j</v>
      </c>
      <c r="Y172" s="87">
        <f t="shared" si="72"/>
        <v>22.93989365700028</v>
      </c>
      <c r="Z172" s="87">
        <f t="shared" si="73"/>
        <v>137.48684205264152</v>
      </c>
      <c r="AB172" s="87" t="str">
        <f t="shared" si="74"/>
        <v>-10.1756968561634-22.9242002556681j</v>
      </c>
      <c r="AC172" s="87">
        <f t="shared" si="75"/>
        <v>27.986946691234401</v>
      </c>
      <c r="AD172" s="87">
        <f t="shared" si="76"/>
        <v>66.064307746336524</v>
      </c>
      <c r="AF172" s="87" t="str">
        <f t="shared" si="77"/>
        <v>0.466505918990678-1.63151799394945j</v>
      </c>
      <c r="AG172" s="87">
        <f t="shared" si="78"/>
        <v>4.5931387591234927</v>
      </c>
      <c r="AH172" s="87">
        <f t="shared" si="79"/>
        <v>105.9570160752199</v>
      </c>
      <c r="AJ172" s="87" t="str">
        <f t="shared" si="80"/>
        <v>157499.677744363-225.289056392599j</v>
      </c>
      <c r="AK172" s="87" t="str">
        <f t="shared" si="81"/>
        <v>30000-0.0000817376933696748j</v>
      </c>
      <c r="AL172" s="87" t="str">
        <f t="shared" si="95"/>
        <v>10000-244685.152901809j</v>
      </c>
      <c r="AM172" s="87" t="str">
        <f t="shared" si="96"/>
        <v>962.374592952176-75963.8965141427j</v>
      </c>
      <c r="AN172" s="87" t="str">
        <f t="shared" si="97"/>
        <v>10962.3745929522-75963.8965141427j</v>
      </c>
      <c r="AO172" s="87" t="str">
        <f t="shared" si="98"/>
        <v>25050.4819270142-9178.78129077827j</v>
      </c>
      <c r="AP172" s="87" t="str">
        <f t="shared" si="99"/>
        <v>0.16000004399908+0.000192246678550635j</v>
      </c>
      <c r="AQ172" s="87" t="str">
        <f t="shared" si="82"/>
        <v>1+12.4241293921905j</v>
      </c>
      <c r="AR172" s="87">
        <f t="shared" si="83"/>
        <v>-1.2835519849336968E-8</v>
      </c>
      <c r="AS172" s="87" t="str">
        <f t="shared" si="84"/>
        <v>0.000691480905582402j</v>
      </c>
      <c r="AT172" s="87" t="str">
        <f t="shared" si="85"/>
        <v>-1.2835519849337E-08+0.000691480905582402j</v>
      </c>
      <c r="AU172" s="87" t="str">
        <f t="shared" si="86"/>
        <v>5.39021861279682-0.433951514547264j</v>
      </c>
      <c r="AW172" s="87" t="str">
        <f t="shared" si="100"/>
        <v>0.854924698166529-0.122396285006497j</v>
      </c>
      <c r="AX172" s="87">
        <f t="shared" si="87"/>
        <v>-1.273327321534846</v>
      </c>
      <c r="AY172" s="87">
        <f t="shared" si="88"/>
        <v>171.8525471999765</v>
      </c>
      <c r="AZ172" s="87" t="str">
        <f t="shared" si="89"/>
        <v>-11.5052915114284-18.3529974917394j</v>
      </c>
      <c r="BA172" s="87">
        <f t="shared" si="90"/>
        <v>26.713619369699554</v>
      </c>
      <c r="BB172" s="87">
        <f t="shared" si="91"/>
        <v>57.91685494631291</v>
      </c>
      <c r="BD172" s="87" t="str">
        <f t="shared" si="92"/>
        <v>0.199135690605336-1.4519236199485j</v>
      </c>
      <c r="BE172" s="87">
        <f t="shared" si="93"/>
        <v>3.3198114375886707</v>
      </c>
      <c r="BF172" s="87">
        <f t="shared" si="94"/>
        <v>97.809563275196254</v>
      </c>
      <c r="BH172" s="87">
        <f t="shared" si="101"/>
        <v>-2.3198114375886707</v>
      </c>
      <c r="BI172" s="107">
        <f t="shared" si="102"/>
        <v>-97.809563275196254</v>
      </c>
      <c r="BJ172" s="91"/>
      <c r="BK172" s="91"/>
      <c r="BL172" s="91"/>
      <c r="BM172" s="91"/>
      <c r="BN172" s="42"/>
      <c r="BO172" s="42"/>
      <c r="BP172" s="42"/>
    </row>
    <row r="173" spans="1:68" s="87" customFormat="1">
      <c r="A173" s="87">
        <v>109</v>
      </c>
      <c r="B173" s="87">
        <f t="shared" si="52"/>
        <v>15135.612484362091</v>
      </c>
      <c r="C173" s="87" t="str">
        <f t="shared" si="53"/>
        <v>95099.8579769078j</v>
      </c>
      <c r="D173" s="87">
        <f t="shared" si="54"/>
        <v>0.99547482932786613</v>
      </c>
      <c r="E173" s="87" t="str">
        <f t="shared" si="55"/>
        <v>-0.105666508863231j</v>
      </c>
      <c r="F173" s="87" t="str">
        <f t="shared" si="56"/>
        <v>0.995474829327866-0.105666508863231j</v>
      </c>
      <c r="G173" s="87">
        <f t="shared" si="57"/>
        <v>9.2646733798995261E-3</v>
      </c>
      <c r="H173" s="87">
        <f t="shared" si="58"/>
        <v>-6.059077811566798</v>
      </c>
      <c r="J173" s="87">
        <f t="shared" si="59"/>
        <v>14.187192118226601</v>
      </c>
      <c r="K173" s="87" t="str">
        <f t="shared" si="60"/>
        <v>1+4.76212538819366j</v>
      </c>
      <c r="L173" s="87">
        <f t="shared" si="61"/>
        <v>-0.25824079172507441</v>
      </c>
      <c r="M173" s="87" t="str">
        <f t="shared" si="62"/>
        <v>0.341727051237711j</v>
      </c>
      <c r="N173" s="87" t="str">
        <f t="shared" si="63"/>
        <v>-0.258240791725074+0.341727051237711j</v>
      </c>
      <c r="O173" s="87" t="str">
        <f t="shared" si="64"/>
        <v>7.46246515708448-8.56564588546467j</v>
      </c>
      <c r="P173" s="87" t="str">
        <f t="shared" si="65"/>
        <v>105.87142685913-121.522463793784j</v>
      </c>
      <c r="R173" s="87">
        <f t="shared" si="66"/>
        <v>23.645320197044338</v>
      </c>
      <c r="S173" s="87" t="str">
        <f t="shared" si="67"/>
        <v>1+0.00713248934826809j</v>
      </c>
      <c r="T173" s="87" t="str">
        <f t="shared" si="68"/>
        <v>-0.258240791725074+0.341727051237711j</v>
      </c>
      <c r="U173" s="87" t="str">
        <f t="shared" si="69"/>
        <v>-1.39428486850249-1.87266056154996j</v>
      </c>
      <c r="V173" s="87" t="str">
        <f t="shared" si="70"/>
        <v>-32.9683121616352-44.2796585982257j</v>
      </c>
      <c r="X173" s="87" t="str">
        <f t="shared" si="71"/>
        <v>7.03174493752527-10.0410351459856j</v>
      </c>
      <c r="Y173" s="87">
        <f t="shared" si="72"/>
        <v>21.768659965626004</v>
      </c>
      <c r="Z173" s="87">
        <f t="shared" si="73"/>
        <v>125.00358535911693</v>
      </c>
      <c r="AB173" s="87" t="str">
        <f t="shared" si="74"/>
        <v>-12.5240972320294-16.8210840447751j</v>
      </c>
      <c r="AC173" s="87">
        <f t="shared" si="75"/>
        <v>26.432570814062608</v>
      </c>
      <c r="AD173" s="87">
        <f t="shared" si="76"/>
        <v>53.330563002505485</v>
      </c>
      <c r="AF173" s="87" t="str">
        <f t="shared" si="77"/>
        <v>0.413174855278707-1.57778675743016j</v>
      </c>
      <c r="AG173" s="87">
        <f t="shared" si="78"/>
        <v>4.2490196521166217</v>
      </c>
      <c r="AH173" s="87">
        <f t="shared" si="79"/>
        <v>104.67452372541999</v>
      </c>
      <c r="AJ173" s="87" t="str">
        <f t="shared" si="80"/>
        <v>157499.646653791-235.906555943971j</v>
      </c>
      <c r="AK173" s="87" t="str">
        <f t="shared" si="81"/>
        <v>30000-0.0000855898721792169j</v>
      </c>
      <c r="AL173" s="87" t="str">
        <f t="shared" si="95"/>
        <v>10000-233672.506930749j</v>
      </c>
      <c r="AM173" s="87" t="str">
        <f t="shared" si="96"/>
        <v>962.300896946268-72547.4549822213j</v>
      </c>
      <c r="AN173" s="87" t="str">
        <f t="shared" si="97"/>
        <v>10962.3008969463-72547.4549822213j</v>
      </c>
      <c r="AO173" s="87" t="str">
        <f t="shared" si="98"/>
        <v>24688.6844788827-9406.7572878582j</v>
      </c>
      <c r="AP173" s="87" t="str">
        <f t="shared" si="99"/>
        <v>0.160000048244031+0.000201306984361013j</v>
      </c>
      <c r="AQ173" s="87" t="str">
        <f t="shared" si="82"/>
        <v>1+13.009660571241j</v>
      </c>
      <c r="AR173" s="87">
        <f t="shared" si="83"/>
        <v>-2.3721687265279451E-8</v>
      </c>
      <c r="AS173" s="87" t="str">
        <f t="shared" si="84"/>
        <v>0.000724069396667421j</v>
      </c>
      <c r="AT173" s="87" t="str">
        <f t="shared" si="85"/>
        <v>-2.37216872652795E-08+0.000724069396667421j</v>
      </c>
      <c r="AU173" s="87" t="str">
        <f t="shared" si="86"/>
        <v>5.39021308822083-0.414501519233559j</v>
      </c>
      <c r="AW173" s="87" t="str">
        <f t="shared" si="100"/>
        <v>0.854614557370304-0.121760739202878j</v>
      </c>
      <c r="AX173" s="87">
        <f t="shared" si="87"/>
        <v>-1.2773197971618462</v>
      </c>
      <c r="AY173" s="87">
        <f t="shared" si="88"/>
        <v>171.89138693622351</v>
      </c>
      <c r="AZ173" s="87" t="str">
        <f t="shared" si="89"/>
        <v>-12.751423439899-12.8505999585935j</v>
      </c>
      <c r="BA173" s="87">
        <f t="shared" si="90"/>
        <v>25.155251016900742</v>
      </c>
      <c r="BB173" s="87">
        <f t="shared" si="91"/>
        <v>45.221949938728926</v>
      </c>
      <c r="BD173" s="87" t="str">
        <f t="shared" si="92"/>
        <v>0.160992764171341-1.39870800712468j</v>
      </c>
      <c r="BE173" s="87">
        <f t="shared" si="93"/>
        <v>2.9716998549547657</v>
      </c>
      <c r="BF173" s="87">
        <f t="shared" si="94"/>
        <v>96.565910661643414</v>
      </c>
      <c r="BH173" s="87">
        <f t="shared" si="101"/>
        <v>-1.9716998549547657</v>
      </c>
      <c r="BI173" s="107">
        <f t="shared" si="102"/>
        <v>-96.565910661643414</v>
      </c>
      <c r="BJ173" s="91"/>
      <c r="BK173" s="91"/>
      <c r="BL173" s="91"/>
      <c r="BM173" s="91"/>
      <c r="BN173" s="42"/>
      <c r="BO173" s="42"/>
      <c r="BP173" s="42"/>
    </row>
    <row r="174" spans="1:68" s="87" customFormat="1">
      <c r="A174" s="87">
        <v>110</v>
      </c>
      <c r="B174" s="87">
        <f t="shared" si="52"/>
        <v>15848.931924611154</v>
      </c>
      <c r="C174" s="87" t="str">
        <f t="shared" si="53"/>
        <v>99581.7762032063j</v>
      </c>
      <c r="D174" s="87">
        <f t="shared" si="54"/>
        <v>0.99503824902417859</v>
      </c>
      <c r="E174" s="87" t="str">
        <f t="shared" si="55"/>
        <v>-0.110646418003563j</v>
      </c>
      <c r="F174" s="87" t="str">
        <f t="shared" si="56"/>
        <v>0.995038249024179-0.110646418003563j</v>
      </c>
      <c r="G174" s="87">
        <f t="shared" si="57"/>
        <v>1.0166853570855535E-2</v>
      </c>
      <c r="H174" s="87">
        <f t="shared" si="58"/>
        <v>-6.3451181579255715</v>
      </c>
      <c r="J174" s="87">
        <f t="shared" si="59"/>
        <v>14.187192118226601</v>
      </c>
      <c r="K174" s="87" t="str">
        <f t="shared" si="60"/>
        <v>1+4.98655744337556j</v>
      </c>
      <c r="L174" s="87">
        <f t="shared" si="61"/>
        <v>-0.37963359362448612</v>
      </c>
      <c r="M174" s="87" t="str">
        <f t="shared" si="62"/>
        <v>0.35783215099226j</v>
      </c>
      <c r="N174" s="87" t="str">
        <f t="shared" si="63"/>
        <v>-0.379633593624486+0.35783215099226j</v>
      </c>
      <c r="O174" s="87" t="str">
        <f t="shared" si="64"/>
        <v>5.1612600117103-8.270323607506j</v>
      </c>
      <c r="P174" s="87" t="str">
        <f t="shared" si="65"/>
        <v>73.2237873582545-117.332669899593j</v>
      </c>
      <c r="R174" s="87">
        <f t="shared" si="66"/>
        <v>23.645320197044338</v>
      </c>
      <c r="S174" s="87" t="str">
        <f t="shared" si="67"/>
        <v>1+0.00746863321524047j</v>
      </c>
      <c r="T174" s="87" t="str">
        <f t="shared" si="68"/>
        <v>-0.379633593624486+0.35783215099226j</v>
      </c>
      <c r="U174" s="87" t="str">
        <f t="shared" si="69"/>
        <v>-1.38504350320707-1.32517705923387j</v>
      </c>
      <c r="V174" s="87" t="str">
        <f t="shared" si="70"/>
        <v>-32.7497971201672-31.3342358833624j</v>
      </c>
      <c r="X174" s="87" t="str">
        <f t="shared" si="71"/>
        <v>4.5493276095107-9.48586110855049j</v>
      </c>
      <c r="Y174" s="87">
        <f t="shared" si="72"/>
        <v>20.440610776857056</v>
      </c>
      <c r="Z174" s="87">
        <f t="shared" si="73"/>
        <v>115.62192747777172</v>
      </c>
      <c r="AB174" s="87" t="str">
        <f t="shared" si="74"/>
        <v>-12.4410871096856-11.9033396362718j</v>
      </c>
      <c r="AC174" s="87">
        <f t="shared" si="75"/>
        <v>24.719809628015</v>
      </c>
      <c r="AD174" s="87">
        <f t="shared" si="76"/>
        <v>43.734591234848978</v>
      </c>
      <c r="AF174" s="87" t="str">
        <f t="shared" si="77"/>
        <v>0.363263737301299-1.52405315987542j</v>
      </c>
      <c r="AG174" s="87">
        <f t="shared" si="78"/>
        <v>3.8999817083860151</v>
      </c>
      <c r="AH174" s="87">
        <f t="shared" si="79"/>
        <v>103.40651223496761</v>
      </c>
      <c r="AJ174" s="87" t="str">
        <f t="shared" si="80"/>
        <v>157499.61256367-247.024435933911j</v>
      </c>
      <c r="AK174" s="87" t="str">
        <f t="shared" si="81"/>
        <v>30000-0.0000896235985828857j</v>
      </c>
      <c r="AL174" s="87" t="str">
        <f t="shared" si="95"/>
        <v>10000-223155.511675908j</v>
      </c>
      <c r="AM174" s="87" t="str">
        <f t="shared" si="96"/>
        <v>962.220103854369-69284.8959091907j</v>
      </c>
      <c r="AN174" s="87" t="str">
        <f t="shared" si="97"/>
        <v>10962.2201038544-69284.8959091907j</v>
      </c>
      <c r="AO174" s="87" t="str">
        <f t="shared" si="98"/>
        <v>24309.3100320857-9625.42703697601j</v>
      </c>
      <c r="AP174" s="87" t="str">
        <f t="shared" si="99"/>
        <v>0.160000052898528+0.000210794289078414j</v>
      </c>
      <c r="AQ174" s="87" t="str">
        <f t="shared" si="82"/>
        <v>1+13.6227869845986j</v>
      </c>
      <c r="AR174" s="87">
        <f t="shared" si="83"/>
        <v>-3.5658132476425238E-8</v>
      </c>
      <c r="AS174" s="87" t="str">
        <f t="shared" si="84"/>
        <v>0.000758193736020448j</v>
      </c>
      <c r="AT174" s="87" t="str">
        <f t="shared" si="85"/>
        <v>-3.56581324764252E-08+0.000758193736020448j</v>
      </c>
      <c r="AU174" s="87" t="str">
        <f t="shared" si="86"/>
        <v>5.39020804719321-0.395930737080801j</v>
      </c>
      <c r="AW174" s="87" t="str">
        <f t="shared" si="100"/>
        <v>0.854274907737479-0.121379693387565j</v>
      </c>
      <c r="AX174" s="87">
        <f t="shared" si="87"/>
        <v>-1.281244200027587</v>
      </c>
      <c r="AY174" s="87">
        <f t="shared" si="88"/>
        <v>171.91325520626589</v>
      </c>
      <c r="AZ174" s="87" t="str">
        <f t="shared" si="89"/>
        <v>-12.0729322581193-8.65862903076238j</v>
      </c>
      <c r="BA174" s="87">
        <f t="shared" si="90"/>
        <v>23.438565427987417</v>
      </c>
      <c r="BB174" s="87">
        <f t="shared" si="91"/>
        <v>35.647846441115064</v>
      </c>
      <c r="BD174" s="87" t="str">
        <f t="shared" si="92"/>
        <v>0.125337990415415-1.34605321359204j</v>
      </c>
      <c r="BE174" s="87">
        <f t="shared" si="93"/>
        <v>2.6187375083584286</v>
      </c>
      <c r="BF174" s="87">
        <f t="shared" si="94"/>
        <v>95.31976744123368</v>
      </c>
      <c r="BH174" s="87">
        <f t="shared" si="101"/>
        <v>-1.6187375083584286</v>
      </c>
      <c r="BI174" s="107">
        <f t="shared" si="102"/>
        <v>-95.31976744123368</v>
      </c>
      <c r="BJ174" s="91"/>
      <c r="BK174" s="91"/>
      <c r="BL174" s="91"/>
      <c r="BM174" s="91"/>
      <c r="BN174" s="42"/>
      <c r="BO174" s="42"/>
      <c r="BP174" s="42"/>
    </row>
    <row r="175" spans="1:68" s="87" customFormat="1">
      <c r="A175" s="87">
        <v>111</v>
      </c>
      <c r="B175" s="87">
        <f t="shared" si="52"/>
        <v>16595.869074375623</v>
      </c>
      <c r="C175" s="87" t="str">
        <f t="shared" si="53"/>
        <v>104274.920727993j</v>
      </c>
      <c r="D175" s="87">
        <f t="shared" si="54"/>
        <v>0.99455954824031967</v>
      </c>
      <c r="E175" s="87" t="str">
        <f t="shared" si="55"/>
        <v>-0.115861023031103j</v>
      </c>
      <c r="F175" s="87" t="str">
        <f t="shared" si="56"/>
        <v>0.99455954824032-0.115861023031103j</v>
      </c>
      <c r="G175" s="87">
        <f t="shared" si="57"/>
        <v>1.1157757079328196E-2</v>
      </c>
      <c r="H175" s="87">
        <f t="shared" si="58"/>
        <v>-6.6447102701947074</v>
      </c>
      <c r="J175" s="87">
        <f t="shared" si="59"/>
        <v>14.187192118226601</v>
      </c>
      <c r="K175" s="87" t="str">
        <f t="shared" si="60"/>
        <v>1+5.22156665545425j</v>
      </c>
      <c r="L175" s="87">
        <f t="shared" si="61"/>
        <v>-0.5127381540759115</v>
      </c>
      <c r="M175" s="87" t="str">
        <f t="shared" si="62"/>
        <v>0.374696260714456j</v>
      </c>
      <c r="N175" s="87" t="str">
        <f t="shared" si="63"/>
        <v>-0.512738154075912+0.374696260714456j</v>
      </c>
      <c r="O175" s="87" t="str">
        <f t="shared" si="64"/>
        <v>3.57989479747656-7.56759260110411j</v>
      </c>
      <c r="P175" s="87" t="str">
        <f t="shared" si="65"/>
        <v>50.7886552548399-107.362890104334j</v>
      </c>
      <c r="R175" s="87">
        <f t="shared" si="66"/>
        <v>23.645320197044338</v>
      </c>
      <c r="S175" s="87" t="str">
        <f t="shared" si="67"/>
        <v>1+0.00782061905459948j</v>
      </c>
      <c r="T175" s="87" t="str">
        <f t="shared" si="68"/>
        <v>-0.512738154075912+0.374696260714456j</v>
      </c>
      <c r="U175" s="87" t="str">
        <f t="shared" si="69"/>
        <v>-1.26409794619977-0.939023922532579j</v>
      </c>
      <c r="V175" s="87" t="str">
        <f t="shared" si="70"/>
        <v>-29.8900006983197-22.2035213209674j</v>
      </c>
      <c r="X175" s="87" t="str">
        <f t="shared" si="71"/>
        <v>2.89266889009026-8.55976507150065j</v>
      </c>
      <c r="Y175" s="87">
        <f t="shared" si="72"/>
        <v>19.118876294236284</v>
      </c>
      <c r="Z175" s="87">
        <f t="shared" si="73"/>
        <v>108.67205908502545</v>
      </c>
      <c r="AB175" s="87" t="str">
        <f t="shared" si="74"/>
        <v>-11.3546994209429-8.43473753081089j</v>
      </c>
      <c r="AC175" s="87">
        <f t="shared" si="75"/>
        <v>23.011906465529634</v>
      </c>
      <c r="AD175" s="87">
        <f t="shared" si="76"/>
        <v>36.606482884703496</v>
      </c>
      <c r="AF175" s="87" t="str">
        <f t="shared" si="77"/>
        <v>0.31665359617385-1.47052248730669j</v>
      </c>
      <c r="AG175" s="87">
        <f t="shared" si="78"/>
        <v>3.5462810652086709</v>
      </c>
      <c r="AH175" s="87">
        <f t="shared" si="79"/>
        <v>102.15217417101955</v>
      </c>
      <c r="AJ175" s="87" t="str">
        <f t="shared" si="80"/>
        <v>157499.575184612-258.666277543821j</v>
      </c>
      <c r="AK175" s="87" t="str">
        <f t="shared" si="81"/>
        <v>30000-0.0000938474286551937j</v>
      </c>
      <c r="AL175" s="87" t="str">
        <f t="shared" si="95"/>
        <v>10000-213111.859180312j</v>
      </c>
      <c r="AM175" s="87" t="str">
        <f t="shared" si="96"/>
        <v>962.131531582202-66169.2989077752j</v>
      </c>
      <c r="AN175" s="87" t="str">
        <f t="shared" si="97"/>
        <v>10962.1315315822-66169.2989077752j</v>
      </c>
      <c r="AO175" s="87" t="str">
        <f t="shared" si="98"/>
        <v>23912.77065815-9833.17228780221j</v>
      </c>
      <c r="AP175" s="87" t="str">
        <f t="shared" si="99"/>
        <v>0.160000058002083+0.000220728716519013j</v>
      </c>
      <c r="AQ175" s="87" t="str">
        <f t="shared" si="82"/>
        <v>1+14.2648091555894j</v>
      </c>
      <c r="AR175" s="87">
        <f t="shared" si="83"/>
        <v>-4.8746184389903491E-8</v>
      </c>
      <c r="AS175" s="87" t="str">
        <f t="shared" si="84"/>
        <v>0.000793926305940379j</v>
      </c>
      <c r="AT175" s="87" t="str">
        <f t="shared" si="85"/>
        <v>-4.87461843899035E-08+0.000793926305940379j</v>
      </c>
      <c r="AU175" s="87" t="str">
        <f t="shared" si="86"/>
        <v>5.39020344692058-0.378199776987453j</v>
      </c>
      <c r="AW175" s="87" t="str">
        <f t="shared" si="100"/>
        <v>0.853902938282502-0.121251785676945j</v>
      </c>
      <c r="AX175" s="87">
        <f t="shared" si="87"/>
        <v>-1.2851333444987079</v>
      </c>
      <c r="AY175" s="87">
        <f t="shared" si="88"/>
        <v>171.91819179512709</v>
      </c>
      <c r="AZ175" s="87" t="str">
        <f t="shared" si="89"/>
        <v>-10.7185381861849-5.82566958058682j</v>
      </c>
      <c r="BA175" s="87">
        <f t="shared" si="90"/>
        <v>21.726773121030906</v>
      </c>
      <c r="BB175" s="87">
        <f t="shared" si="91"/>
        <v>28.524674679830667</v>
      </c>
      <c r="BD175" s="87" t="str">
        <f t="shared" si="92"/>
        <v>0.0920879587265347-1.29407828669878j</v>
      </c>
      <c r="BE175" s="87">
        <f t="shared" si="93"/>
        <v>2.2611477207099551</v>
      </c>
      <c r="BF175" s="87">
        <f t="shared" si="94"/>
        <v>94.070365966146738</v>
      </c>
      <c r="BH175" s="87">
        <f t="shared" si="101"/>
        <v>-1.2611477207099551</v>
      </c>
      <c r="BI175" s="107">
        <f t="shared" si="102"/>
        <v>-94.070365966146738</v>
      </c>
      <c r="BJ175" s="91"/>
      <c r="BK175" s="91"/>
      <c r="BL175" s="91"/>
      <c r="BM175" s="91"/>
      <c r="BN175" s="42"/>
      <c r="BO175" s="42"/>
      <c r="BP175" s="42"/>
    </row>
    <row r="176" spans="1:68" s="87" customFormat="1">
      <c r="A176" s="87">
        <v>112</v>
      </c>
      <c r="B176" s="87">
        <f t="shared" si="52"/>
        <v>17378.008287493769</v>
      </c>
      <c r="C176" s="87" t="str">
        <f t="shared" si="53"/>
        <v>109189.246340026j</v>
      </c>
      <c r="D176" s="87">
        <f t="shared" si="54"/>
        <v>0.99403466326834167</v>
      </c>
      <c r="E176" s="87" t="str">
        <f t="shared" si="55"/>
        <v>-0.121321384822251j</v>
      </c>
      <c r="F176" s="87" t="str">
        <f t="shared" si="56"/>
        <v>0.994034663268342-0.121321384822251j</v>
      </c>
      <c r="G176" s="87">
        <f t="shared" si="57"/>
        <v>1.2246282653449583E-2</v>
      </c>
      <c r="H176" s="87">
        <f t="shared" si="58"/>
        <v>-6.9585031691392221</v>
      </c>
      <c r="J176" s="87">
        <f t="shared" si="59"/>
        <v>14.187192118226601</v>
      </c>
      <c r="K176" s="87" t="str">
        <f t="shared" si="60"/>
        <v>1+5.4676515104768j</v>
      </c>
      <c r="L176" s="87">
        <f t="shared" si="61"/>
        <v>-0.65868440241813464</v>
      </c>
      <c r="M176" s="87" t="str">
        <f t="shared" si="62"/>
        <v>0.392355151442029j</v>
      </c>
      <c r="N176" s="87" t="str">
        <f t="shared" si="63"/>
        <v>-0.658684402418135+0.392355151442029j</v>
      </c>
      <c r="O176" s="87" t="str">
        <f t="shared" si="64"/>
        <v>2.52901895752354-6.79441911478102j</v>
      </c>
      <c r="P176" s="87" t="str">
        <f t="shared" si="65"/>
        <v>35.8796778210236-96.3937293131494j</v>
      </c>
      <c r="R176" s="87">
        <f t="shared" si="66"/>
        <v>23.645320197044338</v>
      </c>
      <c r="S176" s="87" t="str">
        <f t="shared" si="67"/>
        <v>1+0.00818919347550195j</v>
      </c>
      <c r="T176" s="87" t="str">
        <f t="shared" si="68"/>
        <v>-0.658684402418135+0.392355151442029j</v>
      </c>
      <c r="U176" s="87" t="str">
        <f t="shared" si="69"/>
        <v>-1.11511183424627-0.676665584367458j</v>
      </c>
      <c r="V176" s="87" t="str">
        <f t="shared" si="70"/>
        <v>-26.3671763762665-15.9999744086887j</v>
      </c>
      <c r="X176" s="87" t="str">
        <f t="shared" si="71"/>
        <v>1.82123620998069-7.61070120797207j</v>
      </c>
      <c r="Y176" s="87">
        <f t="shared" si="72"/>
        <v>17.870328716186251</v>
      </c>
      <c r="Z176" s="87">
        <f t="shared" si="73"/>
        <v>103.45777188622306</v>
      </c>
      <c r="AB176" s="87" t="str">
        <f t="shared" si="74"/>
        <v>-10.0164387867787-6.0781162900291j</v>
      </c>
      <c r="AC176" s="87">
        <f t="shared" si="75"/>
        <v>21.375836810567126</v>
      </c>
      <c r="AD176" s="87">
        <f t="shared" si="76"/>
        <v>31.24996666364558</v>
      </c>
      <c r="AF176" s="87" t="str">
        <f t="shared" si="77"/>
        <v>0.273214946859898-1.41737829316809j</v>
      </c>
      <c r="AG176" s="87">
        <f t="shared" si="78"/>
        <v>3.1881593976705451</v>
      </c>
      <c r="AH176" s="87">
        <f t="shared" si="79"/>
        <v>100.91055920056382</v>
      </c>
      <c r="AJ176" s="87" t="str">
        <f t="shared" si="80"/>
        <v>157499.534199311-270.856773150515j</v>
      </c>
      <c r="AK176" s="87" t="str">
        <f t="shared" si="81"/>
        <v>30000-0.0000982703217060234j</v>
      </c>
      <c r="AL176" s="87" t="str">
        <f t="shared" si="95"/>
        <v>10000-203520.245510442j</v>
      </c>
      <c r="AM176" s="87" t="str">
        <f t="shared" si="96"/>
        <v>962.034432756908-63194.0553077921j</v>
      </c>
      <c r="AN176" s="87" t="str">
        <f t="shared" si="97"/>
        <v>10962.0344327569-63194.0553077921j</v>
      </c>
      <c r="AO176" s="87" t="str">
        <f t="shared" si="98"/>
        <v>23499.668248268-10028.3672111114j</v>
      </c>
      <c r="AP176" s="87" t="str">
        <f t="shared" si="99"/>
        <v>0.160000063598019+0.000231131338901917j</v>
      </c>
      <c r="AQ176" s="87" t="str">
        <f t="shared" si="82"/>
        <v>1+14.9370888993156j</v>
      </c>
      <c r="AR176" s="87">
        <f t="shared" si="83"/>
        <v>-6.3096947943023689E-8</v>
      </c>
      <c r="AS176" s="87" t="str">
        <f t="shared" si="84"/>
        <v>0.000831342899998763j</v>
      </c>
      <c r="AT176" s="87" t="str">
        <f t="shared" si="85"/>
        <v>-6.30969479430237E-08+0.000831342899998763j</v>
      </c>
      <c r="AU176" s="87" t="str">
        <f t="shared" si="86"/>
        <v>5.3901992483511-0.361271029224912j</v>
      </c>
      <c r="AW176" s="87" t="str">
        <f t="shared" si="100"/>
        <v>0.853495578140659-0.121376110394872j</v>
      </c>
      <c r="AX176" s="87">
        <f t="shared" si="87"/>
        <v>-1.289019763240016</v>
      </c>
      <c r="AY176" s="87">
        <f t="shared" si="88"/>
        <v>171.90620473859641</v>
      </c>
      <c r="AZ176" s="87" t="str">
        <f t="shared" si="89"/>
        <v>-9.28672432704363-3.97188899701702j</v>
      </c>
      <c r="BA176" s="87">
        <f t="shared" si="90"/>
        <v>20.086817047327102</v>
      </c>
      <c r="BB176" s="87">
        <f t="shared" si="91"/>
        <v>23.156171402242052</v>
      </c>
      <c r="BD176" s="87" t="str">
        <f t="shared" si="92"/>
        <v>0.0611518848439938-1.24288787332312j</v>
      </c>
      <c r="BE176" s="87">
        <f t="shared" si="93"/>
        <v>1.8991396344305598</v>
      </c>
      <c r="BF176" s="87">
        <f t="shared" si="94"/>
        <v>92.816763939160268</v>
      </c>
      <c r="BH176" s="87">
        <f t="shared" si="101"/>
        <v>-0.89913963443055978</v>
      </c>
      <c r="BI176" s="107">
        <f t="shared" si="102"/>
        <v>-92.816763939160268</v>
      </c>
      <c r="BJ176" s="91"/>
      <c r="BK176" s="91"/>
      <c r="BL176" s="91"/>
      <c r="BM176" s="91"/>
      <c r="BN176" s="42"/>
      <c r="BO176" s="42"/>
      <c r="BP176" s="42"/>
    </row>
    <row r="177" spans="1:68" s="87" customFormat="1">
      <c r="A177" s="87">
        <v>113</v>
      </c>
      <c r="B177" s="87">
        <f t="shared" si="52"/>
        <v>18197.008586099848</v>
      </c>
      <c r="C177" s="87" t="str">
        <f t="shared" si="53"/>
        <v>114335.176982803j</v>
      </c>
      <c r="D177" s="87">
        <f t="shared" si="54"/>
        <v>0.99345913834108468</v>
      </c>
      <c r="E177" s="87" t="str">
        <f t="shared" si="55"/>
        <v>-0.127039085536448j</v>
      </c>
      <c r="F177" s="87" t="str">
        <f t="shared" si="56"/>
        <v>0.993459138341085-0.127039085536448j</v>
      </c>
      <c r="G177" s="87">
        <f t="shared" si="57"/>
        <v>1.3442255657166002E-2</v>
      </c>
      <c r="H177" s="87">
        <f t="shared" si="58"/>
        <v>-7.2871779470387654</v>
      </c>
      <c r="J177" s="87">
        <f t="shared" si="59"/>
        <v>14.187192118226601</v>
      </c>
      <c r="K177" s="87" t="str">
        <f t="shared" si="60"/>
        <v>1+5.72533398741386j</v>
      </c>
      <c r="L177" s="87">
        <f t="shared" si="61"/>
        <v>-0.81871128153425876</v>
      </c>
      <c r="M177" s="87" t="str">
        <f t="shared" si="62"/>
        <v>0.410846280049782j</v>
      </c>
      <c r="N177" s="87" t="str">
        <f t="shared" si="63"/>
        <v>-0.818711281534259+0.410846280049782j</v>
      </c>
      <c r="O177" s="87" t="str">
        <f t="shared" si="64"/>
        <v>1.82761562677562-6.07596965864466j</v>
      </c>
      <c r="P177" s="87" t="str">
        <f t="shared" si="65"/>
        <v>25.9287340153388-86.2009488517075j</v>
      </c>
      <c r="R177" s="87">
        <f t="shared" si="66"/>
        <v>23.645320197044338</v>
      </c>
      <c r="S177" s="87" t="str">
        <f t="shared" si="67"/>
        <v>1+0.00857513827371022j</v>
      </c>
      <c r="T177" s="87" t="str">
        <f t="shared" si="68"/>
        <v>-0.818711281534259+0.410846280049782j</v>
      </c>
      <c r="U177" s="87" t="str">
        <f t="shared" si="69"/>
        <v>-0.971522941881877-0.498004283225257j</v>
      </c>
      <c r="V177" s="87" t="str">
        <f t="shared" si="70"/>
        <v>-22.9719710395715-11.7754707363608j</v>
      </c>
      <c r="X177" s="87" t="str">
        <f t="shared" si="71"/>
        <v>1.12507996989901-6.75667911261051j</v>
      </c>
      <c r="Y177" s="87">
        <f t="shared" si="72"/>
        <v>16.713442817560185</v>
      </c>
      <c r="Z177" s="87">
        <f t="shared" si="73"/>
        <v>99.453797258636428</v>
      </c>
      <c r="AB177" s="87" t="str">
        <f t="shared" si="74"/>
        <v>-8.72665841977053-4.47329968644002j</v>
      </c>
      <c r="AC177" s="87">
        <f t="shared" si="75"/>
        <v>19.8301693324266</v>
      </c>
      <c r="AD177" s="87">
        <f t="shared" si="76"/>
        <v>27.139752965662325</v>
      </c>
      <c r="AF177" s="87" t="str">
        <f t="shared" si="77"/>
        <v>0.232810672389307-1.36478284120866j</v>
      </c>
      <c r="AG177" s="87">
        <f t="shared" si="78"/>
        <v>2.8258428045098412</v>
      </c>
      <c r="AH177" s="87">
        <f t="shared" si="79"/>
        <v>99.68058574678119</v>
      </c>
      <c r="AJ177" s="87" t="str">
        <f t="shared" si="80"/>
        <v>157499.489259846-283.621778672804j</v>
      </c>
      <c r="AK177" s="87" t="str">
        <f t="shared" si="81"/>
        <v>30000-0.000102901659284523j</v>
      </c>
      <c r="AL177" s="87" t="str">
        <f t="shared" si="95"/>
        <v>10000-194360.325567735j</v>
      </c>
      <c r="AM177" s="87" t="str">
        <f t="shared" si="96"/>
        <v>961.927988535599-60352.854136929j</v>
      </c>
      <c r="AN177" s="87" t="str">
        <f t="shared" si="97"/>
        <v>10961.9279885356-60352.854136929j</v>
      </c>
      <c r="AO177" s="87" t="str">
        <f t="shared" si="98"/>
        <v>23070.801845239-10209.4043129803j</v>
      </c>
      <c r="AP177" s="87" t="str">
        <f t="shared" si="99"/>
        <v>0.160000069733841+0.000242024221545526j</v>
      </c>
      <c r="AQ177" s="87" t="str">
        <f t="shared" si="82"/>
        <v>1+15.6410522112474j</v>
      </c>
      <c r="AR177" s="87">
        <f t="shared" si="83"/>
        <v>-7.883224727702416E-8</v>
      </c>
      <c r="AS177" s="87" t="str">
        <f t="shared" si="84"/>
        <v>0.000870522883808126j</v>
      </c>
      <c r="AT177" s="87" t="str">
        <f t="shared" si="85"/>
        <v>-7.88322472770242E-08+0.000870522883808126j</v>
      </c>
      <c r="AU177" s="87" t="str">
        <f t="shared" si="86"/>
        <v>5.39019541584285-0.345108585662535j</v>
      </c>
      <c r="AW177" s="87" t="str">
        <f t="shared" si="100"/>
        <v>0.853049473384659-0.121752204521387j</v>
      </c>
      <c r="AX177" s="87">
        <f t="shared" si="87"/>
        <v>-1.2929359672386505</v>
      </c>
      <c r="AY177" s="87">
        <f t="shared" si="88"/>
        <v>171.87727029573512</v>
      </c>
      <c r="AZ177" s="87" t="str">
        <f t="shared" si="89"/>
        <v>-7.98890546770195-2.75345604109723j</v>
      </c>
      <c r="BA177" s="87">
        <f t="shared" si="90"/>
        <v>18.537233365187944</v>
      </c>
      <c r="BB177" s="87">
        <f t="shared" si="91"/>
        <v>19.017023261397412</v>
      </c>
      <c r="BD177" s="87" t="str">
        <f t="shared" si="92"/>
        <v>0.0324337018699102-1.19257249657697j</v>
      </c>
      <c r="BE177" s="87">
        <f t="shared" si="93"/>
        <v>1.5329068372711863</v>
      </c>
      <c r="BF177" s="87">
        <f t="shared" si="94"/>
        <v>91.55785604251632</v>
      </c>
      <c r="BH177" s="87">
        <f t="shared" si="101"/>
        <v>-0.53290683727118626</v>
      </c>
      <c r="BI177" s="107">
        <f t="shared" si="102"/>
        <v>-91.55785604251632</v>
      </c>
      <c r="BJ177" s="91"/>
      <c r="BK177" s="91"/>
      <c r="BL177" s="91"/>
      <c r="BM177" s="91"/>
      <c r="BN177" s="42"/>
      <c r="BO177" s="42"/>
      <c r="BP177" s="42"/>
    </row>
    <row r="178" spans="1:68" s="87" customFormat="1">
      <c r="A178" s="87">
        <v>114</v>
      </c>
      <c r="B178" s="87">
        <f t="shared" si="52"/>
        <v>19054.607179632498</v>
      </c>
      <c r="C178" s="87" t="str">
        <f t="shared" si="53"/>
        <v>119723.627865146j</v>
      </c>
      <c r="D178" s="87">
        <f t="shared" si="54"/>
        <v>0.99282808780701026</v>
      </c>
      <c r="E178" s="87" t="str">
        <f t="shared" si="55"/>
        <v>-0.133026253183496j</v>
      </c>
      <c r="F178" s="87" t="str">
        <f t="shared" si="56"/>
        <v>0.99282808780701-0.133026253183496j</v>
      </c>
      <c r="G178" s="87">
        <f t="shared" si="57"/>
        <v>1.4756531090256771E-2</v>
      </c>
      <c r="H178" s="87">
        <f t="shared" si="58"/>
        <v>-7.6314494864616949</v>
      </c>
      <c r="J178" s="87">
        <f t="shared" si="59"/>
        <v>14.187192118226601</v>
      </c>
      <c r="K178" s="87" t="str">
        <f t="shared" si="60"/>
        <v>1+5.99516066534719j</v>
      </c>
      <c r="L178" s="87">
        <f t="shared" si="61"/>
        <v>-0.99417726528197581</v>
      </c>
      <c r="M178" s="87" t="str">
        <f t="shared" si="62"/>
        <v>0.430208868700644j</v>
      </c>
      <c r="N178" s="87" t="str">
        <f t="shared" si="63"/>
        <v>-0.994177265281976+0.430208868700644j</v>
      </c>
      <c r="O178" s="87" t="str">
        <f t="shared" si="64"/>
        <v>1.35069203397204-5.44579036608077j</v>
      </c>
      <c r="P178" s="87" t="str">
        <f t="shared" si="65"/>
        <v>19.1625273785196-77.2604741591755j</v>
      </c>
      <c r="R178" s="87">
        <f t="shared" si="66"/>
        <v>23.645320197044338</v>
      </c>
      <c r="S178" s="87" t="str">
        <f t="shared" si="67"/>
        <v>1+0.00897927208988595j</v>
      </c>
      <c r="T178" s="87" t="str">
        <f t="shared" si="68"/>
        <v>-0.994177265281976+0.430208868700644j</v>
      </c>
      <c r="U178" s="87" t="str">
        <f t="shared" si="69"/>
        <v>-0.843920936702531-0.374220530416121j</v>
      </c>
      <c r="V178" s="87" t="str">
        <f t="shared" si="70"/>
        <v>-19.9547807693209-8.84856426599695j</v>
      </c>
      <c r="X178" s="87" t="str">
        <f t="shared" si="71"/>
        <v>0.664599318257382-6.02156054294529j</v>
      </c>
      <c r="Y178" s="87">
        <f t="shared" si="72"/>
        <v>15.64676520637809</v>
      </c>
      <c r="Z178" s="87">
        <f t="shared" si="73"/>
        <v>96.298240640763225</v>
      </c>
      <c r="AB178" s="87" t="str">
        <f t="shared" si="74"/>
        <v>-7.58047950327372-3.36141803947631j</v>
      </c>
      <c r="AC178" s="87">
        <f t="shared" si="75"/>
        <v>18.373535573587496</v>
      </c>
      <c r="AD178" s="87">
        <f t="shared" si="76"/>
        <v>23.913972665380214</v>
      </c>
      <c r="AF178" s="87" t="str">
        <f t="shared" si="77"/>
        <v>0.195298620441969-1.31287784907851j</v>
      </c>
      <c r="AG178" s="87">
        <f t="shared" si="78"/>
        <v>2.4595409072525043</v>
      </c>
      <c r="AH178" s="87">
        <f t="shared" si="79"/>
        <v>98.461052355409521</v>
      </c>
      <c r="AJ178" s="87" t="str">
        <f t="shared" si="80"/>
        <v>157499.439984733-296.988368381792j</v>
      </c>
      <c r="AK178" s="87" t="str">
        <f t="shared" si="81"/>
        <v>30000-0.000107751265078631j</v>
      </c>
      <c r="AL178" s="87" t="str">
        <f t="shared" si="95"/>
        <v>10000-185612.669933898j</v>
      </c>
      <c r="AM178" s="87" t="str">
        <f t="shared" si="96"/>
        <v>961.811301838011-57639.6687327753j</v>
      </c>
      <c r="AN178" s="87" t="str">
        <f t="shared" si="97"/>
        <v>10961.811301838-57639.6687327753j</v>
      </c>
      <c r="AO178" s="87" t="str">
        <f t="shared" si="98"/>
        <v>22627.1708822232-10374.7225332291j</v>
      </c>
      <c r="AP178" s="87" t="str">
        <f t="shared" si="99"/>
        <v>0.160000076461635+0.000253430469670297j</v>
      </c>
      <c r="AQ178" s="87" t="str">
        <f t="shared" si="82"/>
        <v>1+16.378192291952j</v>
      </c>
      <c r="AR178" s="87">
        <f t="shared" si="83"/>
        <v>-9.6085659906546579E-8</v>
      </c>
      <c r="AS178" s="87" t="str">
        <f t="shared" si="84"/>
        <v>0.000911549363367091j</v>
      </c>
      <c r="AT178" s="87" t="str">
        <f t="shared" si="85"/>
        <v>-9.60856599065466E-08+0.000911549363367091j</v>
      </c>
      <c r="AU178" s="87" t="str">
        <f t="shared" si="86"/>
        <v>5.39019191686167-0.329678163601911j</v>
      </c>
      <c r="AW178" s="87" t="str">
        <f t="shared" si="100"/>
        <v>0.852560962007882-0.122380033441405j</v>
      </c>
      <c r="AX178" s="87">
        <f t="shared" si="87"/>
        <v>-1.2969147056920232</v>
      </c>
      <c r="AY178" s="87">
        <f t="shared" si="88"/>
        <v>171.83133292934127</v>
      </c>
      <c r="AZ178" s="87" t="str">
        <f t="shared" si="89"/>
        <v>-6.87419134987373-1.93811446233404j</v>
      </c>
      <c r="BA178" s="87">
        <f t="shared" si="90"/>
        <v>17.076620867895475</v>
      </c>
      <c r="BB178" s="87">
        <f t="shared" si="91"/>
        <v>15.74530559472143</v>
      </c>
      <c r="BD178" s="87" t="str">
        <f t="shared" si="92"/>
        <v>0.00583394464810816-1.14320905370996j</v>
      </c>
      <c r="BE178" s="87">
        <f t="shared" si="93"/>
        <v>1.1626262015604678</v>
      </c>
      <c r="BF178" s="87">
        <f t="shared" si="94"/>
        <v>90.29238528475075</v>
      </c>
      <c r="BH178" s="87">
        <f t="shared" si="101"/>
        <v>-0.16262620156046781</v>
      </c>
      <c r="BI178" s="107">
        <f t="shared" si="102"/>
        <v>-90.29238528475075</v>
      </c>
      <c r="BJ178" s="91"/>
      <c r="BK178" s="91"/>
      <c r="BL178" s="91"/>
      <c r="BM178" s="91"/>
      <c r="BN178" s="42"/>
      <c r="BO178" s="42"/>
      <c r="BP178" s="42"/>
    </row>
    <row r="179" spans="1:68" s="87" customFormat="1">
      <c r="A179" s="87">
        <v>115</v>
      </c>
      <c r="B179" s="87">
        <f t="shared" si="52"/>
        <v>19952.623149688818</v>
      </c>
      <c r="C179" s="87" t="str">
        <f t="shared" si="53"/>
        <v>125366.028613816j</v>
      </c>
      <c r="D179" s="87">
        <f t="shared" si="54"/>
        <v>0.99213615465573335</v>
      </c>
      <c r="E179" s="87" t="str">
        <f t="shared" si="55"/>
        <v>-0.139295587348684j</v>
      </c>
      <c r="F179" s="87" t="str">
        <f t="shared" si="56"/>
        <v>0.992136154655733-0.139295587348684j</v>
      </c>
      <c r="G179" s="87">
        <f t="shared" si="57"/>
        <v>1.6201109255000901E-2</v>
      </c>
      <c r="H179" s="87">
        <f t="shared" si="58"/>
        <v>-7.9920682874974629</v>
      </c>
      <c r="J179" s="87">
        <f t="shared" si="59"/>
        <v>14.187192118226601</v>
      </c>
      <c r="K179" s="87" t="str">
        <f t="shared" si="60"/>
        <v>1+6.27770388283684j</v>
      </c>
      <c r="L179" s="87">
        <f t="shared" si="61"/>
        <v>-1.1865718906261016</v>
      </c>
      <c r="M179" s="87" t="str">
        <f t="shared" si="62"/>
        <v>0.450483988041124j</v>
      </c>
      <c r="N179" s="87" t="str">
        <f t="shared" si="63"/>
        <v>-1.1865718906261+0.450483988041124j</v>
      </c>
      <c r="O179" s="87" t="str">
        <f t="shared" si="64"/>
        <v>1.01896128244123-4.90377210738825j</v>
      </c>
      <c r="P179" s="87" t="str">
        <f t="shared" si="65"/>
        <v>14.4561994750283-69.570756991518j</v>
      </c>
      <c r="R179" s="87">
        <f t="shared" si="66"/>
        <v>23.645320197044338</v>
      </c>
      <c r="S179" s="87" t="str">
        <f t="shared" si="67"/>
        <v>1+0.0094024521460362j</v>
      </c>
      <c r="T179" s="87" t="str">
        <f t="shared" si="68"/>
        <v>-1.1865718906261+0.450483988041124j</v>
      </c>
      <c r="U179" s="87" t="str">
        <f t="shared" si="69"/>
        <v>-0.733965204894499-0.286575156058101j</v>
      </c>
      <c r="V179" s="87" t="str">
        <f t="shared" si="70"/>
        <v>-17.3548422832197-6.77616132551175j</v>
      </c>
      <c r="X179" s="87" t="str">
        <f t="shared" si="71"/>
        <v>0.353414057764502-5.39717441725781j</v>
      </c>
      <c r="Y179" s="87">
        <f t="shared" si="72"/>
        <v>14.661910941242027</v>
      </c>
      <c r="Z179" s="87">
        <f t="shared" si="73"/>
        <v>93.746454194468953</v>
      </c>
      <c r="AB179" s="87" t="str">
        <f t="shared" si="74"/>
        <v>-6.59280739444436-2.574147650767j</v>
      </c>
      <c r="AC179" s="87">
        <f t="shared" si="75"/>
        <v>16.997626971229856</v>
      </c>
      <c r="AD179" s="87">
        <f t="shared" si="76"/>
        <v>21.328053882337656</v>
      </c>
      <c r="AF179" s="87" t="str">
        <f t="shared" si="77"/>
        <v>0.160533901124211-1.2617854652238j</v>
      </c>
      <c r="AG179" s="87">
        <f t="shared" si="78"/>
        <v>2.0894461351385392</v>
      </c>
      <c r="AH179" s="87">
        <f t="shared" si="79"/>
        <v>97.250648632171774</v>
      </c>
      <c r="AJ179" s="87" t="str">
        <f t="shared" si="80"/>
        <v>157499.385955681-310.984892290458j</v>
      </c>
      <c r="AK179" s="87" t="str">
        <f t="shared" si="81"/>
        <v>30000-0.000112829425752434j</v>
      </c>
      <c r="AL179" s="87" t="str">
        <f t="shared" si="95"/>
        <v>10000-177258.723658518j</v>
      </c>
      <c r="AM179" s="87" t="str">
        <f t="shared" si="96"/>
        <v>961.683389951965-55048.743957693j</v>
      </c>
      <c r="AN179" s="87" t="str">
        <f t="shared" si="97"/>
        <v>10961.683389952-55048.743957693j</v>
      </c>
      <c r="AO179" s="87" t="str">
        <f t="shared" si="98"/>
        <v>22169.9737440983-10522.8367978708j</v>
      </c>
      <c r="AP179" s="87" t="str">
        <f t="shared" si="99"/>
        <v>0.160000083838515+0.000265374277407168j</v>
      </c>
      <c r="AQ179" s="87" t="str">
        <f t="shared" si="82"/>
        <v>1+17.15007271437j</v>
      </c>
      <c r="AR179" s="87">
        <f t="shared" si="83"/>
        <v>-1.1500365066387339E-7</v>
      </c>
      <c r="AS179" s="87" t="str">
        <f t="shared" si="84"/>
        <v>0.0009545093613393j</v>
      </c>
      <c r="AT179" s="87" t="str">
        <f t="shared" si="85"/>
        <v>-1.15003650663873E-07+0.0009545093613393j</v>
      </c>
      <c r="AU179" s="87" t="str">
        <f t="shared" si="86"/>
        <v>5.39018872170447-0.314947033058904j</v>
      </c>
      <c r="AW179" s="87" t="str">
        <f t="shared" si="100"/>
        <v>0.852026046972673-0.123259975741548j</v>
      </c>
      <c r="AX179" s="87">
        <f t="shared" si="87"/>
        <v>-1.3009892274388655</v>
      </c>
      <c r="AY179" s="87">
        <f t="shared" si="88"/>
        <v>171.76830529484911</v>
      </c>
      <c r="AZ179" s="87" t="str">
        <f t="shared" si="89"/>
        <v>-5.93453299972934-1.38061156769909j</v>
      </c>
      <c r="BA179" s="87">
        <f t="shared" si="90"/>
        <v>15.696637743790989</v>
      </c>
      <c r="BB179" s="87">
        <f t="shared" si="91"/>
        <v>13.096359177186798</v>
      </c>
      <c r="BD179" s="87" t="str">
        <f t="shared" si="92"/>
        <v>-0.0187485806545599-1.09486148682048j</v>
      </c>
      <c r="BE179" s="87">
        <f t="shared" si="93"/>
        <v>0.78845690769970567</v>
      </c>
      <c r="BF179" s="87">
        <f t="shared" si="94"/>
        <v>89.018953927020917</v>
      </c>
      <c r="BH179" s="87">
        <f t="shared" si="101"/>
        <v>0.21154309230029433</v>
      </c>
      <c r="BI179" s="107">
        <f t="shared" si="102"/>
        <v>-89.018953927020917</v>
      </c>
      <c r="BJ179" s="91"/>
      <c r="BK179" s="91"/>
      <c r="BL179" s="91"/>
      <c r="BM179" s="91"/>
      <c r="BN179" s="42"/>
      <c r="BO179" s="42"/>
      <c r="BP179" s="42"/>
    </row>
    <row r="180" spans="1:68" s="87" customFormat="1">
      <c r="A180" s="87">
        <v>116</v>
      </c>
      <c r="B180" s="87">
        <f t="shared" si="52"/>
        <v>20892.961308540394</v>
      </c>
      <c r="C180" s="87" t="str">
        <f t="shared" si="53"/>
        <v>131274.347517293j</v>
      </c>
      <c r="D180" s="87">
        <f t="shared" si="54"/>
        <v>0.9913774650421695</v>
      </c>
      <c r="E180" s="87" t="str">
        <f t="shared" si="55"/>
        <v>-0.145860386130326j</v>
      </c>
      <c r="F180" s="87" t="str">
        <f t="shared" si="56"/>
        <v>0.99137746504217-0.145860386130326j</v>
      </c>
      <c r="G180" s="87">
        <f t="shared" si="57"/>
        <v>1.7789265821813626E-2</v>
      </c>
      <c r="H180" s="87">
        <f t="shared" si="58"/>
        <v>-8.3698224117879843</v>
      </c>
      <c r="J180" s="87">
        <f t="shared" si="59"/>
        <v>14.187192118226601</v>
      </c>
      <c r="K180" s="87" t="str">
        <f t="shared" si="60"/>
        <v>1+6.57356295192845j</v>
      </c>
      <c r="L180" s="87">
        <f t="shared" si="61"/>
        <v>-1.3975284023711168</v>
      </c>
      <c r="M180" s="87" t="str">
        <f t="shared" si="62"/>
        <v>0.471714644317682j</v>
      </c>
      <c r="N180" s="87" t="str">
        <f t="shared" si="63"/>
        <v>-1.39752840237112+0.471714644317682j</v>
      </c>
      <c r="O180" s="87" t="str">
        <f t="shared" si="64"/>
        <v>0.782918385891715-4.43944385922412j</v>
      </c>
      <c r="P180" s="87" t="str">
        <f t="shared" si="65"/>
        <v>11.1074135535376-62.9832429288939j</v>
      </c>
      <c r="R180" s="87">
        <f t="shared" si="66"/>
        <v>23.645320197044338</v>
      </c>
      <c r="S180" s="87" t="str">
        <f t="shared" si="67"/>
        <v>1+0.00984557606379697j</v>
      </c>
      <c r="T180" s="87" t="str">
        <f t="shared" si="68"/>
        <v>-1.39752840237112+0.471714644317682j</v>
      </c>
      <c r="U180" s="87" t="str">
        <f t="shared" si="69"/>
        <v>-0.640229767227046-0.223144898138594j</v>
      </c>
      <c r="V180" s="87" t="str">
        <f t="shared" si="70"/>
        <v>-15.1384378457627-5.2763325668239j</v>
      </c>
      <c r="X180" s="87" t="str">
        <f t="shared" si="71"/>
        <v>0.138648083717074-4.86708214708629j</v>
      </c>
      <c r="Y180" s="87">
        <f t="shared" si="72"/>
        <v>13.74889641303827</v>
      </c>
      <c r="Z180" s="87">
        <f t="shared" si="73"/>
        <v>91.631737865216465</v>
      </c>
      <c r="AB180" s="87" t="str">
        <f t="shared" si="74"/>
        <v>-5.75083330295554-2.00438838880941j</v>
      </c>
      <c r="AC180" s="87">
        <f t="shared" si="75"/>
        <v>15.692528110988002</v>
      </c>
      <c r="AD180" s="87">
        <f t="shared" si="76"/>
        <v>19.215426888510962</v>
      </c>
      <c r="AF180" s="87" t="str">
        <f t="shared" si="77"/>
        <v>0.128370885928802-1.21160941771934j</v>
      </c>
      <c r="AG180" s="87">
        <f t="shared" si="78"/>
        <v>1.7157331678438636</v>
      </c>
      <c r="AH180" s="87">
        <f t="shared" si="79"/>
        <v>96.047965651772969</v>
      </c>
      <c r="AJ180" s="87" t="str">
        <f t="shared" si="80"/>
        <v>157499.326714046-325.64103624359j</v>
      </c>
      <c r="AK180" s="87" t="str">
        <f t="shared" si="81"/>
        <v>30000-0.000118146912765564j</v>
      </c>
      <c r="AL180" s="87" t="str">
        <f t="shared" si="95"/>
        <v>10000-169280.766901506j</v>
      </c>
      <c r="AM180" s="87" t="str">
        <f t="shared" si="96"/>
        <v>961.543176456296-52574.5839893602j</v>
      </c>
      <c r="AN180" s="87" t="str">
        <f t="shared" si="97"/>
        <v>10961.5431764563-52574.5839893602j</v>
      </c>
      <c r="AO180" s="87" t="str">
        <f t="shared" si="98"/>
        <v>21700.6012132965-10652.3681352598j</v>
      </c>
      <c r="AP180" s="87" t="str">
        <f t="shared" si="99"/>
        <v>0.160000091927102+0.000277880979115603j</v>
      </c>
      <c r="AQ180" s="87" t="str">
        <f t="shared" si="82"/>
        <v>1+17.9583307403657j</v>
      </c>
      <c r="AR180" s="87">
        <f t="shared" si="83"/>
        <v>-1.3574681504412491E-7</v>
      </c>
      <c r="AS180" s="87" t="str">
        <f t="shared" si="84"/>
        <v>0.000999494001640215j</v>
      </c>
      <c r="AT180" s="87" t="str">
        <f t="shared" si="85"/>
        <v>-1.35746815044125E-07+0.000999494001640215j</v>
      </c>
      <c r="AU180" s="87" t="str">
        <f t="shared" si="86"/>
        <v>5.39018580324753-0.300883947339126j</v>
      </c>
      <c r="AW180" s="87" t="str">
        <f t="shared" si="100"/>
        <v>0.851440367226913-0.124392806773765j</v>
      </c>
      <c r="AX180" s="87">
        <f t="shared" si="87"/>
        <v>-1.305193545608724</v>
      </c>
      <c r="AY180" s="87">
        <f t="shared" si="88"/>
        <v>171.68806823942859</v>
      </c>
      <c r="AZ180" s="87" t="str">
        <f t="shared" si="89"/>
        <v>-5.14582311687797-0.991254889990567j</v>
      </c>
      <c r="BA180" s="87">
        <f t="shared" si="90"/>
        <v>14.387334565379275</v>
      </c>
      <c r="BB180" s="87">
        <f t="shared" si="91"/>
        <v>10.903495127939607</v>
      </c>
      <c r="BD180" s="87" t="str">
        <f t="shared" si="92"/>
        <v>-0.0414153419271718-1.04758158236726j</v>
      </c>
      <c r="BE180" s="87">
        <f t="shared" si="93"/>
        <v>0.41053962223514562</v>
      </c>
      <c r="BF180" s="87">
        <f t="shared" si="94"/>
        <v>87.7360338912016</v>
      </c>
      <c r="BH180" s="87">
        <f t="shared" si="101"/>
        <v>0.58946037776485438</v>
      </c>
      <c r="BI180" s="107">
        <f t="shared" si="102"/>
        <v>-87.7360338912016</v>
      </c>
      <c r="BJ180" s="91"/>
      <c r="BK180" s="91"/>
      <c r="BL180" s="91"/>
      <c r="BM180" s="91"/>
      <c r="BN180" s="42"/>
      <c r="BO180" s="42"/>
      <c r="BP180" s="42"/>
    </row>
    <row r="181" spans="1:68" s="87" customFormat="1">
      <c r="A181" s="87">
        <v>117</v>
      </c>
      <c r="B181" s="87">
        <f t="shared" si="52"/>
        <v>21877.616239495524</v>
      </c>
      <c r="C181" s="87" t="str">
        <f t="shared" si="53"/>
        <v>137461.116912112j</v>
      </c>
      <c r="D181" s="87">
        <f t="shared" si="54"/>
        <v>0.99054557842325652</v>
      </c>
      <c r="E181" s="87" t="str">
        <f t="shared" si="55"/>
        <v>-0.152734574346791j</v>
      </c>
      <c r="F181" s="87" t="str">
        <f t="shared" si="56"/>
        <v>0.990545578423257-0.152734574346791j</v>
      </c>
      <c r="G181" s="87">
        <f t="shared" si="57"/>
        <v>1.9535698317880521E-2</v>
      </c>
      <c r="H181" s="87">
        <f t="shared" si="58"/>
        <v>-8.7655395523470006</v>
      </c>
      <c r="J181" s="87">
        <f t="shared" si="59"/>
        <v>14.187192118226601</v>
      </c>
      <c r="K181" s="87" t="str">
        <f t="shared" si="60"/>
        <v>1+6.88336542937401j</v>
      </c>
      <c r="L181" s="87">
        <f t="shared" si="61"/>
        <v>-1.6288376178339239</v>
      </c>
      <c r="M181" s="87" t="str">
        <f t="shared" si="62"/>
        <v>0.49394587059872j</v>
      </c>
      <c r="N181" s="87" t="str">
        <f t="shared" si="63"/>
        <v>-1.62883761783392+0.49394587059872j</v>
      </c>
      <c r="O181" s="87" t="str">
        <f t="shared" si="64"/>
        <v>0.611361592354346-4.04054144092034j</v>
      </c>
      <c r="P181" s="87" t="str">
        <f t="shared" si="65"/>
        <v>8.67350436443604-57.323937683993j</v>
      </c>
      <c r="R181" s="87">
        <f t="shared" si="66"/>
        <v>23.645320197044338</v>
      </c>
      <c r="S181" s="87" t="str">
        <f t="shared" si="67"/>
        <v>1+0.0103095837684084j</v>
      </c>
      <c r="T181" s="87" t="str">
        <f t="shared" si="68"/>
        <v>-1.62883761783392+0.49394587059872j</v>
      </c>
      <c r="U181" s="87" t="str">
        <f t="shared" si="69"/>
        <v>-0.56047368728311-0.176293354252835j</v>
      </c>
      <c r="V181" s="87" t="str">
        <f t="shared" si="70"/>
        <v>-13.2525797978272-4.16851280991925j</v>
      </c>
      <c r="X181" s="87" t="str">
        <f t="shared" si="71"/>
        <v>-0.0124484445914842-4.4147493512734j</v>
      </c>
      <c r="Y181" s="87">
        <f t="shared" si="72"/>
        <v>12.898155558589963</v>
      </c>
      <c r="Z181" s="87">
        <f t="shared" si="73"/>
        <v>89.838441236515237</v>
      </c>
      <c r="AB181" s="87" t="str">
        <f t="shared" si="74"/>
        <v>-5.03442812448134-1.5835466337625j</v>
      </c>
      <c r="AC181" s="87">
        <f t="shared" si="75"/>
        <v>14.448733276164772</v>
      </c>
      <c r="AD181" s="87">
        <f t="shared" si="76"/>
        <v>17.460629605325181</v>
      </c>
      <c r="AF181" s="87" t="str">
        <f t="shared" si="77"/>
        <v>0.0986649166198686-1.16243628075358j</v>
      </c>
      <c r="AG181" s="87">
        <f t="shared" si="78"/>
        <v>1.3385585084211371</v>
      </c>
      <c r="AH181" s="87">
        <f t="shared" si="79"/>
        <v>94.851505774839538</v>
      </c>
      <c r="AJ181" s="87" t="str">
        <f t="shared" si="80"/>
        <v>157499.261756936-340.987884834578j</v>
      </c>
      <c r="AK181" s="87" t="str">
        <f t="shared" si="81"/>
        <v>30000-0.000123715005220901j</v>
      </c>
      <c r="AL181" s="87" t="str">
        <f t="shared" si="95"/>
        <v>10000-161661.877346962j</v>
      </c>
      <c r="AM181" s="87" t="str">
        <f t="shared" si="96"/>
        <v>961.389482401477-50211.940661069j</v>
      </c>
      <c r="AN181" s="87" t="str">
        <f t="shared" si="97"/>
        <v>10961.3894824015-50211.940661069j</v>
      </c>
      <c r="AO181" s="87" t="str">
        <f t="shared" si="98"/>
        <v>21220.6245544929-10762.0733381427j</v>
      </c>
      <c r="AP181" s="87" t="str">
        <f t="shared" si="99"/>
        <v>0.160000100796063+0.000290977103120026j</v>
      </c>
      <c r="AQ181" s="87" t="str">
        <f t="shared" si="82"/>
        <v>1+18.8046807935769j</v>
      </c>
      <c r="AR181" s="87">
        <f t="shared" si="83"/>
        <v>-1.5849124250608211E-7</v>
      </c>
      <c r="AS181" s="87" t="str">
        <f t="shared" si="84"/>
        <v>0.0010465987027231j</v>
      </c>
      <c r="AT181" s="87" t="str">
        <f t="shared" si="85"/>
        <v>-1.58491242506082E-07+0.0010465987027231j</v>
      </c>
      <c r="AU181" s="87" t="str">
        <f t="shared" si="86"/>
        <v>5.39018313671592-0.287459076759692j</v>
      </c>
      <c r="AW181" s="87" t="str">
        <f t="shared" si="100"/>
        <v>0.850799166599489-0.125779680671425j</v>
      </c>
      <c r="AX181" s="87">
        <f t="shared" si="87"/>
        <v>-1.3095627071632356</v>
      </c>
      <c r="AY181" s="87">
        <f t="shared" si="88"/>
        <v>171.59047081436429</v>
      </c>
      <c r="AZ181" s="87" t="str">
        <f t="shared" si="89"/>
        <v>-4.48246524253671-0.714051394416059j</v>
      </c>
      <c r="BA181" s="87">
        <f t="shared" si="90"/>
        <v>13.139170569001536</v>
      </c>
      <c r="BB181" s="87">
        <f t="shared" si="91"/>
        <v>9.051100419689476</v>
      </c>
      <c r="BD181" s="87" t="str">
        <f t="shared" si="92"/>
        <v>-0.0622668353612719-1.00140986059608j</v>
      </c>
      <c r="BE181" s="87">
        <f t="shared" si="93"/>
        <v>2.8995801257941378E-2</v>
      </c>
      <c r="BF181" s="87">
        <f t="shared" si="94"/>
        <v>86.441976589203861</v>
      </c>
      <c r="BH181" s="87">
        <f t="shared" si="101"/>
        <v>0.97100419874205857</v>
      </c>
      <c r="BI181" s="107">
        <f t="shared" si="102"/>
        <v>-86.441976589203861</v>
      </c>
      <c r="BJ181" s="91"/>
      <c r="BK181" s="91"/>
      <c r="BL181" s="91"/>
      <c r="BM181" s="91"/>
      <c r="BN181" s="42"/>
      <c r="BO181" s="42"/>
      <c r="BP181" s="42"/>
    </row>
    <row r="182" spans="1:68" s="87" customFormat="1">
      <c r="A182" s="87">
        <v>118</v>
      </c>
      <c r="B182" s="87">
        <f t="shared" si="52"/>
        <v>22908.676527677744</v>
      </c>
      <c r="C182" s="87" t="str">
        <f t="shared" si="53"/>
        <v>143939.459765635j</v>
      </c>
      <c r="D182" s="87">
        <f t="shared" si="54"/>
        <v>0.989633432883955</v>
      </c>
      <c r="E182" s="87" t="str">
        <f t="shared" si="55"/>
        <v>-0.159932733072928j</v>
      </c>
      <c r="F182" s="87" t="str">
        <f t="shared" si="56"/>
        <v>0.989633432883955-0.159932733072928j</v>
      </c>
      <c r="G182" s="87">
        <f t="shared" si="57"/>
        <v>2.1456691380097762E-2</v>
      </c>
      <c r="H182" s="87">
        <f t="shared" si="58"/>
        <v>-9.1800892388319077</v>
      </c>
      <c r="J182" s="87">
        <f t="shared" si="59"/>
        <v>14.187192118226601</v>
      </c>
      <c r="K182" s="87" t="str">
        <f t="shared" si="60"/>
        <v>1+7.20776844776417j</v>
      </c>
      <c r="L182" s="87">
        <f t="shared" si="61"/>
        <v>-1.8824631291559064</v>
      </c>
      <c r="M182" s="87" t="str">
        <f t="shared" si="62"/>
        <v>0.517224822295776j</v>
      </c>
      <c r="N182" s="87" t="str">
        <f t="shared" si="63"/>
        <v>-1.88246312915591+0.517224822295776j</v>
      </c>
      <c r="O182" s="87" t="str">
        <f t="shared" si="64"/>
        <v>0.484251410747784-3.69585012855646j</v>
      </c>
      <c r="P182" s="87" t="str">
        <f t="shared" si="65"/>
        <v>6.87016779780107-52.433735814003j</v>
      </c>
      <c r="R182" s="87">
        <f t="shared" si="66"/>
        <v>23.645320197044338</v>
      </c>
      <c r="S182" s="87" t="str">
        <f t="shared" si="67"/>
        <v>1+0.0107954594824226j</v>
      </c>
      <c r="T182" s="87" t="str">
        <f t="shared" si="68"/>
        <v>-1.88246312915591+0.517224822295776j</v>
      </c>
      <c r="U182" s="87" t="str">
        <f t="shared" si="69"/>
        <v>-0.492465599173204-0.141044404742535j</v>
      </c>
      <c r="V182" s="87" t="str">
        <f t="shared" si="70"/>
        <v>-11.6445067784797-3.33504011213876j</v>
      </c>
      <c r="X182" s="87" t="str">
        <f t="shared" si="71"/>
        <v>-0.12056896937454-4.0259183858558j</v>
      </c>
      <c r="Y182" s="87">
        <f t="shared" si="72"/>
        <v>12.101192746742228</v>
      </c>
      <c r="Z182" s="87">
        <f t="shared" si="73"/>
        <v>88.284607819077365</v>
      </c>
      <c r="AB182" s="87" t="str">
        <f t="shared" si="74"/>
        <v>-4.42354872150276-1.2669246284846j</v>
      </c>
      <c r="AC182" s="87">
        <f t="shared" si="75"/>
        <v>13.257799628870888</v>
      </c>
      <c r="AD182" s="87">
        <f t="shared" si="76"/>
        <v>15.981955378645097</v>
      </c>
      <c r="AF182" s="87" t="str">
        <f t="shared" si="77"/>
        <v>0.0712737392898352-1.11433681200899j</v>
      </c>
      <c r="AG182" s="87">
        <f t="shared" si="78"/>
        <v>0.95806015998462446</v>
      </c>
      <c r="AH182" s="87">
        <f t="shared" si="79"/>
        <v>93.659691841042289</v>
      </c>
      <c r="AJ182" s="87" t="str">
        <f t="shared" si="80"/>
        <v>157499.190532943-357.057987281676j</v>
      </c>
      <c r="AK182" s="87" t="str">
        <f t="shared" si="81"/>
        <v>30000-0.000129545513789071j</v>
      </c>
      <c r="AL182" s="87" t="str">
        <f t="shared" si="95"/>
        <v>10000-154385.894308655j</v>
      </c>
      <c r="AM182" s="87" t="str">
        <f t="shared" si="96"/>
        <v>961.221016683927-47955.8023269865j</v>
      </c>
      <c r="AN182" s="87" t="str">
        <f t="shared" si="97"/>
        <v>10961.2210166839-47955.8023269865j</v>
      </c>
      <c r="AO182" s="87" t="str">
        <f t="shared" si="98"/>
        <v>20731.7782232976-10850.8730733257j</v>
      </c>
      <c r="AP182" s="87" t="str">
        <f t="shared" si="99"/>
        <v>0.160000110520683+0.000304690427978708j</v>
      </c>
      <c r="AQ182" s="87" t="str">
        <f t="shared" si="82"/>
        <v>1+19.6909180959389j</v>
      </c>
      <c r="AR182" s="87">
        <f t="shared" si="83"/>
        <v>-1.8343001130188125E-7</v>
      </c>
      <c r="AS182" s="87" t="str">
        <f t="shared" si="84"/>
        <v>0.0010959233799744j</v>
      </c>
      <c r="AT182" s="87" t="str">
        <f t="shared" si="85"/>
        <v>-1.83430011301881E-07+0.0010959233799744j</v>
      </c>
      <c r="AU182" s="87" t="str">
        <f t="shared" si="86"/>
        <v>5.39018069947341-0.274643945376596j</v>
      </c>
      <c r="AW182" s="87" t="str">
        <f t="shared" si="100"/>
        <v>0.85009726049681-0.127422110467069j</v>
      </c>
      <c r="AX182" s="87">
        <f t="shared" si="87"/>
        <v>-1.3141330689932689</v>
      </c>
      <c r="AY182" s="87">
        <f t="shared" si="88"/>
        <v>171.4753303051524</v>
      </c>
      <c r="AZ182" s="87" t="str">
        <f t="shared" si="89"/>
        <v>-3.92188085978787-0.513351242082913j</v>
      </c>
      <c r="BA182" s="87">
        <f t="shared" si="90"/>
        <v>11.943666559877604</v>
      </c>
      <c r="BB182" s="87">
        <f t="shared" si="91"/>
        <v>7.4572856837975507</v>
      </c>
      <c r="BD182" s="87" t="str">
        <f t="shared" si="92"/>
        <v>-0.081401537841678-0.956376521440784j</v>
      </c>
      <c r="BE182" s="87">
        <f t="shared" si="93"/>
        <v>-0.35607290900862459</v>
      </c>
      <c r="BF182" s="87">
        <f t="shared" si="94"/>
        <v>85.135022146194729</v>
      </c>
      <c r="BH182" s="87">
        <f t="shared" si="101"/>
        <v>1.3560729090086245</v>
      </c>
      <c r="BI182" s="107">
        <f t="shared" si="102"/>
        <v>-85.135022146194729</v>
      </c>
      <c r="BJ182" s="91"/>
      <c r="BK182" s="91"/>
      <c r="BL182" s="91"/>
      <c r="BM182" s="91"/>
      <c r="BN182" s="42"/>
      <c r="BO182" s="42"/>
      <c r="BP182" s="42"/>
    </row>
    <row r="183" spans="1:68" s="87" customFormat="1">
      <c r="A183" s="87">
        <v>119</v>
      </c>
      <c r="B183" s="87">
        <f t="shared" si="52"/>
        <v>23988.329190194912</v>
      </c>
      <c r="C183" s="87" t="str">
        <f t="shared" si="53"/>
        <v>150723.11751162j</v>
      </c>
      <c r="D183" s="87">
        <f t="shared" si="54"/>
        <v>0.98863328518840177</v>
      </c>
      <c r="E183" s="87" t="str">
        <f t="shared" si="55"/>
        <v>-0.167470130568467j</v>
      </c>
      <c r="F183" s="87" t="str">
        <f t="shared" si="56"/>
        <v>0.988633285188402-0.167470130568467j</v>
      </c>
      <c r="G183" s="87">
        <f t="shared" si="57"/>
        <v>2.3570303483335681E-2</v>
      </c>
      <c r="H183" s="87">
        <f t="shared" si="58"/>
        <v>-9.6143851885898517</v>
      </c>
      <c r="J183" s="87">
        <f t="shared" si="59"/>
        <v>14.187192118226601</v>
      </c>
      <c r="K183" s="87" t="str">
        <f t="shared" si="60"/>
        <v>1+7.54746010939437j</v>
      </c>
      <c r="L183" s="87">
        <f t="shared" si="61"/>
        <v>-2.1605579723060906</v>
      </c>
      <c r="M183" s="87" t="str">
        <f t="shared" si="62"/>
        <v>0.541600877186459j</v>
      </c>
      <c r="N183" s="87" t="str">
        <f t="shared" si="63"/>
        <v>-2.16055797230609+0.541600877186459j</v>
      </c>
      <c r="O183" s="87" t="str">
        <f t="shared" si="64"/>
        <v>0.388433803143316-3.39592092178475j</v>
      </c>
      <c r="P183" s="87" t="str">
        <f t="shared" si="65"/>
        <v>5.51078499040764-48.1785825356654j</v>
      </c>
      <c r="R183" s="87">
        <f t="shared" si="66"/>
        <v>23.645320197044338</v>
      </c>
      <c r="S183" s="87" t="str">
        <f t="shared" si="67"/>
        <v>1+0.0113042338133715j</v>
      </c>
      <c r="T183" s="87" t="str">
        <f t="shared" si="68"/>
        <v>-2.16055797230609+0.541600877186459j</v>
      </c>
      <c r="U183" s="87" t="str">
        <f t="shared" si="69"/>
        <v>-0.434244499904181-0.114086934502283j</v>
      </c>
      <c r="V183" s="87" t="str">
        <f t="shared" si="70"/>
        <v>-10.2678502440397-2.69762209660571j</v>
      </c>
      <c r="X183" s="87" t="str">
        <f t="shared" si="71"/>
        <v>-0.199083550150058-3.68895464131283j</v>
      </c>
      <c r="Y183" s="87">
        <f t="shared" si="72"/>
        <v>11.350696695160972</v>
      </c>
      <c r="Z183" s="87">
        <f t="shared" si="73"/>
        <v>86.9108883934951</v>
      </c>
      <c r="AB183" s="87" t="str">
        <f t="shared" si="74"/>
        <v>-3.90058047830289-1.0247804396998j</v>
      </c>
      <c r="AC183" s="87">
        <f t="shared" si="75"/>
        <v>12.112461377610337</v>
      </c>
      <c r="AD183" s="87">
        <f t="shared" si="76"/>
        <v>14.720369696345017</v>
      </c>
      <c r="AF183" s="87" t="str">
        <f t="shared" si="77"/>
        <v>0.0460586833455206-1.0673673217222j</v>
      </c>
      <c r="AG183" s="87">
        <f t="shared" si="78"/>
        <v>0.57435738129857872</v>
      </c>
      <c r="AH183" s="87">
        <f t="shared" si="79"/>
        <v>92.47087573442974</v>
      </c>
      <c r="AJ183" s="87" t="str">
        <f t="shared" si="80"/>
        <v>157499.112437461-373.885426402226j</v>
      </c>
      <c r="AK183" s="87" t="str">
        <f t="shared" si="81"/>
        <v>30000-0.000135650805760458j</v>
      </c>
      <c r="AL183" s="87" t="str">
        <f t="shared" si="95"/>
        <v>10000-147437.384451055j</v>
      </c>
      <c r="AM183" s="87" t="str">
        <f t="shared" si="96"/>
        <v>961.036365544833-45801.3832287243j</v>
      </c>
      <c r="AN183" s="87" t="str">
        <f t="shared" si="97"/>
        <v>10961.0363655448-45801.3832287243j</v>
      </c>
      <c r="AO183" s="87" t="str">
        <f t="shared" si="98"/>
        <v>20235.9374402351-10917.8773193117j</v>
      </c>
      <c r="AP183" s="87" t="str">
        <f t="shared" si="99"/>
        <v>0.160000121183519+0.000319050041404331j</v>
      </c>
      <c r="AQ183" s="87" t="str">
        <f t="shared" si="82"/>
        <v>1+20.6189224755896j</v>
      </c>
      <c r="AR183" s="87">
        <f t="shared" si="83"/>
        <v>-2.1077482752512751E-7</v>
      </c>
      <c r="AS183" s="87" t="str">
        <f t="shared" si="84"/>
        <v>0.00114757265764762j</v>
      </c>
      <c r="AT183" s="87" t="str">
        <f t="shared" si="85"/>
        <v>-2.10774827525128E-07+0.00114757265764762j</v>
      </c>
      <c r="AU183" s="87" t="str">
        <f t="shared" si="86"/>
        <v>5.39017847083011-0.26241137058355j</v>
      </c>
      <c r="AW183" s="87" t="str">
        <f t="shared" si="100"/>
        <v>0.849329000338546-0.129321945920865j</v>
      </c>
      <c r="AX183" s="87">
        <f t="shared" si="87"/>
        <v>-1.3189425822220737</v>
      </c>
      <c r="AY183" s="87">
        <f t="shared" si="88"/>
        <v>171.34243228517246</v>
      </c>
      <c r="AZ183" s="87" t="str">
        <f t="shared" si="89"/>
        <v>-3.44540271898066-0.365945088741662j</v>
      </c>
      <c r="BA183" s="87">
        <f t="shared" si="90"/>
        <v>10.79351879538827</v>
      </c>
      <c r="BB183" s="87">
        <f t="shared" si="91"/>
        <v>6.0628019815175094</v>
      </c>
      <c r="BD183" s="87" t="str">
        <f t="shared" si="92"/>
        <v>-0.0989150435746952-0.912502418909142j</v>
      </c>
      <c r="BE183" s="87">
        <f t="shared" si="93"/>
        <v>-0.74458520092350422</v>
      </c>
      <c r="BF183" s="87">
        <f t="shared" si="94"/>
        <v>83.81330801960226</v>
      </c>
      <c r="BH183" s="87">
        <f t="shared" si="101"/>
        <v>1.7445852009235043</v>
      </c>
      <c r="BI183" s="107">
        <f t="shared" si="102"/>
        <v>-83.81330801960226</v>
      </c>
      <c r="BJ183" s="91"/>
      <c r="BK183" s="91"/>
      <c r="BL183" s="91"/>
      <c r="BM183" s="91"/>
      <c r="BN183" s="42"/>
      <c r="BO183" s="42"/>
      <c r="BP183" s="42"/>
    </row>
    <row r="184" spans="1:68" s="87" customFormat="1">
      <c r="A184" s="87">
        <v>120</v>
      </c>
      <c r="B184" s="87">
        <f t="shared" si="52"/>
        <v>25118.864315095805</v>
      </c>
      <c r="C184" s="87" t="str">
        <f t="shared" si="53"/>
        <v>157826.479197648j</v>
      </c>
      <c r="D184" s="87">
        <f t="shared" si="54"/>
        <v>0.98753664504730476</v>
      </c>
      <c r="E184" s="87" t="str">
        <f t="shared" si="55"/>
        <v>-0.175362754664053j</v>
      </c>
      <c r="F184" s="87" t="str">
        <f t="shared" si="56"/>
        <v>0.987536645047305-0.175362754664053j</v>
      </c>
      <c r="G184" s="87">
        <f t="shared" si="57"/>
        <v>2.5896578287592977E-2</v>
      </c>
      <c r="H184" s="87">
        <f t="shared" si="58"/>
        <v>-10.069387814447083</v>
      </c>
      <c r="J184" s="87">
        <f t="shared" si="59"/>
        <v>14.187192118226601</v>
      </c>
      <c r="K184" s="87" t="str">
        <f t="shared" si="60"/>
        <v>1+7.90316094582222j</v>
      </c>
      <c r="L184" s="87">
        <f t="shared" si="61"/>
        <v>-2.4654829042801545</v>
      </c>
      <c r="M184" s="87" t="str">
        <f t="shared" si="62"/>
        <v>0.567125740151351j</v>
      </c>
      <c r="N184" s="87" t="str">
        <f t="shared" si="63"/>
        <v>-2.46548290428015+0.567125740151351j</v>
      </c>
      <c r="O184" s="87" t="str">
        <f t="shared" si="64"/>
        <v>0.315082538557561-3.1330452604332j</v>
      </c>
      <c r="P184" s="87" t="str">
        <f t="shared" si="65"/>
        <v>4.47013650761466-44.4491150248651j</v>
      </c>
      <c r="R184" s="87">
        <f t="shared" si="66"/>
        <v>23.645320197044338</v>
      </c>
      <c r="S184" s="87" t="str">
        <f t="shared" si="67"/>
        <v>1+0.0118369859398236j</v>
      </c>
      <c r="T184" s="87" t="str">
        <f t="shared" si="68"/>
        <v>-2.46548290428015+0.567125740151351j</v>
      </c>
      <c r="U184" s="87" t="str">
        <f t="shared" si="69"/>
        <v>-0.384168528618732-0.093169920860857j</v>
      </c>
      <c r="V184" s="87" t="str">
        <f t="shared" si="70"/>
        <v>-9.08378786881731-2.20303261148824j</v>
      </c>
      <c r="X184" s="87" t="str">
        <f t="shared" si="71"/>
        <v>-0.256823285976677-3.39455932916101j</v>
      </c>
      <c r="Y184" s="87">
        <f t="shared" si="72"/>
        <v>10.640456345638841</v>
      </c>
      <c r="Z184" s="87">
        <f t="shared" si="73"/>
        <v>85.673397100441633</v>
      </c>
      <c r="AB184" s="87" t="str">
        <f t="shared" si="74"/>
        <v>-3.45077545815601-0.836894363786013j</v>
      </c>
      <c r="AC184" s="87">
        <f t="shared" si="75"/>
        <v>11.006545855424141</v>
      </c>
      <c r="AD184" s="87">
        <f t="shared" si="76"/>
        <v>13.632369585966728</v>
      </c>
      <c r="AF184" s="87" t="str">
        <f t="shared" si="77"/>
        <v>0.0228856079803712-1.02157104143187j</v>
      </c>
      <c r="AG184" s="87">
        <f t="shared" si="78"/>
        <v>0.18755049842264854</v>
      </c>
      <c r="AH184" s="87">
        <f t="shared" si="79"/>
        <v>91.28334634075874</v>
      </c>
      <c r="AJ184" s="87" t="str">
        <f t="shared" si="80"/>
        <v>157499.026807558-391.505890829962j</v>
      </c>
      <c r="AK184" s="87" t="str">
        <f t="shared" si="81"/>
        <v>30000-0.000142043831277883j</v>
      </c>
      <c r="AL184" s="87" t="str">
        <f t="shared" si="95"/>
        <v>10000-140801.609053149j</v>
      </c>
      <c r="AM184" s="87" t="str">
        <f t="shared" si="96"/>
        <v>960.833981119823-43744.1133405981j</v>
      </c>
      <c r="AN184" s="87" t="str">
        <f t="shared" si="97"/>
        <v>10960.8339811198-43744.1133405981j</v>
      </c>
      <c r="AO184" s="87" t="str">
        <f t="shared" si="98"/>
        <v>19735.0911357604-10962.4070581388j</v>
      </c>
      <c r="AP184" s="87" t="str">
        <f t="shared" si="99"/>
        <v>0.160000132875084+0.000334086401961247j</v>
      </c>
      <c r="AQ184" s="87" t="str">
        <f t="shared" si="82"/>
        <v>1+21.5906623542382j</v>
      </c>
      <c r="AR184" s="87">
        <f t="shared" si="83"/>
        <v>-2.4075782229146216E-7</v>
      </c>
      <c r="AS184" s="87" t="str">
        <f t="shared" si="84"/>
        <v>0.00120165609078547j</v>
      </c>
      <c r="AT184" s="87" t="str">
        <f t="shared" si="85"/>
        <v>-2.40757822291462E-07+0.00120165609078547j</v>
      </c>
      <c r="AU184" s="87" t="str">
        <f t="shared" si="86"/>
        <v>5.390176431867-0.250735405454116j</v>
      </c>
      <c r="AW184" s="87" t="str">
        <f t="shared" si="100"/>
        <v>0.848488235691991-0.131481348624826j</v>
      </c>
      <c r="AX184" s="87">
        <f t="shared" si="87"/>
        <v>-1.3240310863478812</v>
      </c>
      <c r="AY184" s="87">
        <f t="shared" si="88"/>
        <v>171.19153070028949</v>
      </c>
      <c r="AZ184" s="87" t="str">
        <f t="shared" si="89"/>
        <v>-3.03797837986712-0.256382411149561j</v>
      </c>
      <c r="BA184" s="87">
        <f t="shared" si="90"/>
        <v>9.6825147690762705</v>
      </c>
      <c r="BB184" s="87">
        <f t="shared" si="91"/>
        <v>4.8239002862562188</v>
      </c>
      <c r="BD184" s="87" t="str">
        <f t="shared" si="92"/>
        <v>-0.114899369105527-0.869800041179918j</v>
      </c>
      <c r="BE184" s="87">
        <f t="shared" si="93"/>
        <v>-1.1364805879252078</v>
      </c>
      <c r="BF184" s="87">
        <f t="shared" si="94"/>
        <v>82.474877041048217</v>
      </c>
      <c r="BH184" s="87">
        <f t="shared" si="101"/>
        <v>2.1364805879252078</v>
      </c>
      <c r="BI184" s="107">
        <f t="shared" si="102"/>
        <v>-82.474877041048217</v>
      </c>
      <c r="BJ184" s="91"/>
      <c r="BK184" s="91"/>
      <c r="BL184" s="91"/>
      <c r="BM184" s="91"/>
      <c r="BN184" s="42"/>
      <c r="BO184" s="42"/>
      <c r="BP184" s="42"/>
    </row>
    <row r="185" spans="1:68" s="87" customFormat="1">
      <c r="A185" s="87">
        <v>121</v>
      </c>
      <c r="B185" s="87">
        <f t="shared" si="52"/>
        <v>26302.679918953818</v>
      </c>
      <c r="C185" s="87" t="str">
        <f t="shared" si="53"/>
        <v>165264.612006218j</v>
      </c>
      <c r="D185" s="87">
        <f t="shared" si="54"/>
        <v>0.98633420304357655</v>
      </c>
      <c r="E185" s="87" t="str">
        <f t="shared" si="55"/>
        <v>-0.183627346673576j</v>
      </c>
      <c r="F185" s="87" t="str">
        <f t="shared" si="56"/>
        <v>0.986334203043577-0.183627346673576j</v>
      </c>
      <c r="G185" s="87">
        <f t="shared" si="57"/>
        <v>2.8457784251933807E-2</v>
      </c>
      <c r="H185" s="87">
        <f t="shared" si="58"/>
        <v>-10.546106900788168</v>
      </c>
      <c r="J185" s="87">
        <f t="shared" si="59"/>
        <v>14.187192118226601</v>
      </c>
      <c r="K185" s="87" t="str">
        <f t="shared" si="60"/>
        <v>1+8.27562544621137j</v>
      </c>
      <c r="L185" s="87">
        <f t="shared" si="61"/>
        <v>-2.7998264436501259</v>
      </c>
      <c r="M185" s="87" t="str">
        <f t="shared" si="62"/>
        <v>0.593853552846974j</v>
      </c>
      <c r="N185" s="87" t="str">
        <f t="shared" si="63"/>
        <v>-2.79982644365013+0.593853552846974j</v>
      </c>
      <c r="O185" s="87" t="str">
        <f t="shared" si="64"/>
        <v>0.258149794381577-2.90100920079249j</v>
      </c>
      <c r="P185" s="87" t="str">
        <f t="shared" si="65"/>
        <v>3.66242072817213-41.1571748683861j</v>
      </c>
      <c r="R185" s="87">
        <f t="shared" si="66"/>
        <v>23.645320197044338</v>
      </c>
      <c r="S185" s="87" t="str">
        <f t="shared" si="67"/>
        <v>1+0.0123948459004663j</v>
      </c>
      <c r="T185" s="87" t="str">
        <f t="shared" si="68"/>
        <v>-2.79982644365013+0.593853552846974j</v>
      </c>
      <c r="U185" s="87" t="str">
        <f t="shared" si="69"/>
        <v>-0.340890056499511-0.0767310479441106j</v>
      </c>
      <c r="V185" s="87" t="str">
        <f t="shared" si="70"/>
        <v>-8.06045453791947-1.81433019769326j</v>
      </c>
      <c r="X185" s="87" t="str">
        <f t="shared" si="71"/>
        <v>-0.299743695039955-3.13534431115042j</v>
      </c>
      <c r="Y185" s="87">
        <f t="shared" si="72"/>
        <v>9.9652175152966471</v>
      </c>
      <c r="Z185" s="87">
        <f t="shared" si="73"/>
        <v>84.53903290452935</v>
      </c>
      <c r="AB185" s="87" t="str">
        <f t="shared" si="74"/>
        <v>-3.06202864958098-0.689232973029168j</v>
      </c>
      <c r="AC185" s="87">
        <f t="shared" si="75"/>
        <v>9.9348303222119618</v>
      </c>
      <c r="AD185" s="87">
        <f t="shared" si="76"/>
        <v>12.685308359820453</v>
      </c>
      <c r="AF185" s="87" t="str">
        <f t="shared" si="77"/>
        <v>0.00162564007878196-0.976979467104143j</v>
      </c>
      <c r="AG185" s="87">
        <f t="shared" si="78"/>
        <v>-0.20227924819452531</v>
      </c>
      <c r="AH185" s="87">
        <f t="shared" si="79"/>
        <v>90.095336936646476</v>
      </c>
      <c r="AJ185" s="87" t="str">
        <f t="shared" si="80"/>
        <v>157498.932916343-409.95675062705j</v>
      </c>
      <c r="AK185" s="87" t="str">
        <f t="shared" si="81"/>
        <v>30000-0.000148738150805596j</v>
      </c>
      <c r="AL185" s="87" t="str">
        <f t="shared" si="95"/>
        <v>10000-134464.492745647j</v>
      </c>
      <c r="AM185" s="87" t="str">
        <f t="shared" si="96"/>
        <v>960.612168960553-41779.6286719774j</v>
      </c>
      <c r="AN185" s="87" t="str">
        <f t="shared" si="97"/>
        <v>10960.6121689606-41779.6286719774j</v>
      </c>
      <c r="AO185" s="87" t="str">
        <f t="shared" si="98"/>
        <v>19231.3110251943-10984.0112634392j</v>
      </c>
      <c r="AP185" s="87" t="str">
        <f t="shared" si="99"/>
        <v>0.16000014569463+0.000349831403670259j</v>
      </c>
      <c r="AQ185" s="87" t="str">
        <f t="shared" si="82"/>
        <v>1+22.6081989224506j</v>
      </c>
      <c r="AR185" s="87">
        <f t="shared" si="83"/>
        <v>-2.7363352230782015E-7</v>
      </c>
      <c r="AS185" s="87" t="str">
        <f t="shared" si="84"/>
        <v>0.0012582883976007j</v>
      </c>
      <c r="AT185" s="87" t="str">
        <f t="shared" si="85"/>
        <v>-2.7363352230782E-07+0.0012582883976007j</v>
      </c>
      <c r="AU185" s="87" t="str">
        <f t="shared" si="86"/>
        <v>5.39017456527531-0.239591283704914j</v>
      </c>
      <c r="AW185" s="87" t="str">
        <f t="shared" si="100"/>
        <v>0.84756827409311-0.133902763900275j</v>
      </c>
      <c r="AX185" s="87">
        <f t="shared" si="87"/>
        <v>-1.3294406148255</v>
      </c>
      <c r="AY185" s="87">
        <f t="shared" si="88"/>
        <v>171.02234799333664</v>
      </c>
      <c r="AZ185" s="87" t="str">
        <f t="shared" si="89"/>
        <v>-2.68756853780882-0.174157902077675j</v>
      </c>
      <c r="BA185" s="87">
        <f t="shared" si="90"/>
        <v>8.60538970738647</v>
      </c>
      <c r="BB185" s="87">
        <f t="shared" si="91"/>
        <v>3.7076563531570912</v>
      </c>
      <c r="BD185" s="87" t="str">
        <f t="shared" si="92"/>
        <v>-0.129442409963193-0.828274478457521j</v>
      </c>
      <c r="BE185" s="87">
        <f t="shared" si="93"/>
        <v>-1.5317198630200226</v>
      </c>
      <c r="BF185" s="87">
        <f t="shared" si="94"/>
        <v>81.117684929983099</v>
      </c>
      <c r="BH185" s="87">
        <f t="shared" si="101"/>
        <v>2.5317198630200224</v>
      </c>
      <c r="BI185" s="107">
        <f t="shared" si="102"/>
        <v>-81.117684929983099</v>
      </c>
      <c r="BJ185" s="91"/>
      <c r="BK185" s="91"/>
      <c r="BL185" s="91"/>
      <c r="BM185" s="91"/>
      <c r="BN185" s="42"/>
      <c r="BO185" s="42"/>
      <c r="BP185" s="42"/>
    </row>
    <row r="186" spans="1:68" s="87" customFormat="1">
      <c r="A186" s="87">
        <v>122</v>
      </c>
      <c r="B186" s="87">
        <f t="shared" si="52"/>
        <v>27542.287033381683</v>
      </c>
      <c r="C186" s="87" t="str">
        <f t="shared" si="53"/>
        <v>173053.293214267j</v>
      </c>
      <c r="D186" s="87">
        <f t="shared" si="54"/>
        <v>0.98501575160436172</v>
      </c>
      <c r="E186" s="87" t="str">
        <f t="shared" si="55"/>
        <v>-0.192281436904741j</v>
      </c>
      <c r="F186" s="87" t="str">
        <f t="shared" si="56"/>
        <v>0.985015751604362-0.192281436904741j</v>
      </c>
      <c r="G186" s="87">
        <f t="shared" si="57"/>
        <v>3.1278686751892971E-2</v>
      </c>
      <c r="H186" s="87">
        <f t="shared" si="58"/>
        <v>-11.045604459956062</v>
      </c>
      <c r="J186" s="87">
        <f t="shared" si="59"/>
        <v>14.187192118226601</v>
      </c>
      <c r="K186" s="87" t="str">
        <f t="shared" si="60"/>
        <v>1+8.66564365770442j</v>
      </c>
      <c r="L186" s="87">
        <f t="shared" si="61"/>
        <v>-3.1664268445906973</v>
      </c>
      <c r="M186" s="87" t="str">
        <f t="shared" si="62"/>
        <v>0.621841008547522j</v>
      </c>
      <c r="N186" s="87" t="str">
        <f t="shared" si="63"/>
        <v>-3.1664268445907+0.621841008547522j</v>
      </c>
      <c r="O186" s="87" t="str">
        <f t="shared" si="64"/>
        <v>0.213409914688774-2.69481565181188j</v>
      </c>
      <c r="P186" s="87" t="str">
        <f t="shared" si="65"/>
        <v>3.02768745962399-38.2318673754592j</v>
      </c>
      <c r="R186" s="87">
        <f t="shared" si="66"/>
        <v>23.645320197044338</v>
      </c>
      <c r="S186" s="87" t="str">
        <f t="shared" si="67"/>
        <v>1+0.01297899699107j</v>
      </c>
      <c r="T186" s="87" t="str">
        <f t="shared" si="68"/>
        <v>-3.1664268445907+0.621841008547522j</v>
      </c>
      <c r="U186" s="87" t="str">
        <f t="shared" si="69"/>
        <v>-0.303310534217373-0.063664798015552j</v>
      </c>
      <c r="V186" s="87" t="str">
        <f t="shared" si="70"/>
        <v>-7.17187470070636-1.50537453435788j</v>
      </c>
      <c r="X186" s="87" t="str">
        <f t="shared" si="71"/>
        <v>-0.331938508030282-2.90543234161343j</v>
      </c>
      <c r="Y186" s="87">
        <f t="shared" si="72"/>
        <v>9.3205348623278148</v>
      </c>
      <c r="Z186" s="87">
        <f t="shared" si="73"/>
        <v>83.482357081817881</v>
      </c>
      <c r="AB186" s="87" t="str">
        <f t="shared" si="74"/>
        <v>-2.72447238570199-0.571866007167288j</v>
      </c>
      <c r="AC186" s="87">
        <f t="shared" si="75"/>
        <v>8.8928940258599489</v>
      </c>
      <c r="AD186" s="87">
        <f t="shared" si="76"/>
        <v>11.854276396436575</v>
      </c>
      <c r="AF186" s="87" t="str">
        <f t="shared" si="77"/>
        <v>-0.0178442722368632-0.933613657326468j</v>
      </c>
      <c r="AG186" s="87">
        <f t="shared" si="78"/>
        <v>-0.59506983940322788</v>
      </c>
      <c r="AH186" s="87">
        <f t="shared" si="79"/>
        <v>88.905032066969724</v>
      </c>
      <c r="AJ186" s="87" t="str">
        <f t="shared" si="80"/>
        <v>157498.829966801-429.277136449594j</v>
      </c>
      <c r="AK186" s="87" t="str">
        <f t="shared" si="81"/>
        <v>30000-0.00015574796389284j</v>
      </c>
      <c r="AL186" s="87" t="str">
        <f t="shared" si="95"/>
        <v>9999.99999999999-128412.593655225j</v>
      </c>
      <c r="AM186" s="87" t="str">
        <f t="shared" si="96"/>
        <v>960.369074444312-39903.7620060803j</v>
      </c>
      <c r="AN186" s="87" t="str">
        <f t="shared" si="97"/>
        <v>10960.3690744443-39903.7620060803j</v>
      </c>
      <c r="AO186" s="87" t="str">
        <f t="shared" si="98"/>
        <v>18726.7177938131-10982.4784087243j</v>
      </c>
      <c r="AP186" s="87" t="str">
        <f t="shared" si="99"/>
        <v>0.160000159750982+0.000366318443657893j</v>
      </c>
      <c r="AQ186" s="87" t="str">
        <f t="shared" si="82"/>
        <v>1+23.6736905117117j</v>
      </c>
      <c r="AR186" s="87">
        <f t="shared" si="83"/>
        <v>-3.0968101055870644E-7</v>
      </c>
      <c r="AS186" s="87" t="str">
        <f t="shared" si="84"/>
        <v>0.00131758970280892j</v>
      </c>
      <c r="AT186" s="87" t="str">
        <f t="shared" si="85"/>
        <v>-3.09681010558706E-07+0.00131758970280892j</v>
      </c>
      <c r="AU186" s="87" t="str">
        <f t="shared" si="86"/>
        <v>5.39017285520937-0.228955367163063j</v>
      </c>
      <c r="AW186" s="87" t="str">
        <f t="shared" si="100"/>
        <v>0.84656183857798-0.136588888954824j</v>
      </c>
      <c r="AX186" s="87">
        <f t="shared" si="87"/>
        <v>-1.3352157136502598</v>
      </c>
      <c r="AY186" s="87">
        <f t="shared" si="88"/>
        <v>170.83457527913075</v>
      </c>
      <c r="AZ186" s="87" t="str">
        <f t="shared" si="89"/>
        <v>-2.38454489454482-0.111987282296654j</v>
      </c>
      <c r="BA186" s="87">
        <f t="shared" si="90"/>
        <v>7.5576783122096804</v>
      </c>
      <c r="BB186" s="87">
        <f t="shared" si="91"/>
        <v>2.6888516755673493</v>
      </c>
      <c r="BD186" s="87" t="str">
        <f t="shared" si="92"/>
        <v>-0.142627532080197-0.787924364948765j</v>
      </c>
      <c r="BE186" s="87">
        <f t="shared" si="93"/>
        <v>-1.9302855530534995</v>
      </c>
      <c r="BF186" s="87">
        <f t="shared" si="94"/>
        <v>79.739607346100456</v>
      </c>
      <c r="BH186" s="87">
        <f t="shared" si="101"/>
        <v>2.9302855530534995</v>
      </c>
      <c r="BI186" s="107">
        <f t="shared" si="102"/>
        <v>-79.739607346100456</v>
      </c>
      <c r="BJ186" s="91"/>
      <c r="BK186" s="91"/>
      <c r="BL186" s="91"/>
      <c r="BM186" s="91"/>
      <c r="BN186" s="42"/>
      <c r="BO186" s="42"/>
      <c r="BP186" s="42"/>
    </row>
    <row r="187" spans="1:68" s="87" customFormat="1">
      <c r="A187" s="87">
        <v>123</v>
      </c>
      <c r="B187" s="87">
        <f t="shared" si="52"/>
        <v>28840.315031266073</v>
      </c>
      <c r="C187" s="87" t="str">
        <f t="shared" si="53"/>
        <v>181209.043658882j</v>
      </c>
      <c r="D187" s="87">
        <f t="shared" si="54"/>
        <v>0.98357009834858911</v>
      </c>
      <c r="E187" s="87" t="str">
        <f t="shared" si="55"/>
        <v>-0.201343381843202j</v>
      </c>
      <c r="F187" s="87" t="str">
        <f t="shared" si="56"/>
        <v>0.983570098348589-0.201343381843202j</v>
      </c>
      <c r="G187" s="87">
        <f t="shared" si="57"/>
        <v>3.438685762391424E-2</v>
      </c>
      <c r="H187" s="87">
        <f t="shared" si="58"/>
        <v>-11.568997781325248</v>
      </c>
      <c r="J187" s="87">
        <f t="shared" si="59"/>
        <v>14.187192118226601</v>
      </c>
      <c r="K187" s="87" t="str">
        <f t="shared" si="60"/>
        <v>1+9.07404286121852j</v>
      </c>
      <c r="L187" s="87">
        <f t="shared" si="61"/>
        <v>-3.568396190919346</v>
      </c>
      <c r="M187" s="87" t="str">
        <f t="shared" si="62"/>
        <v>0.651147472398874j</v>
      </c>
      <c r="N187" s="87" t="str">
        <f t="shared" si="63"/>
        <v>-3.56839619091935+0.651147472398874j</v>
      </c>
      <c r="O187" s="87" t="str">
        <f t="shared" si="64"/>
        <v>0.177857022257539-2.51043640656369j</v>
      </c>
      <c r="P187" s="87" t="str">
        <f t="shared" si="65"/>
        <v>2.52329174434341-35.6160436005095j</v>
      </c>
      <c r="R187" s="87">
        <f t="shared" si="66"/>
        <v>23.645320197044338</v>
      </c>
      <c r="S187" s="87" t="str">
        <f t="shared" si="67"/>
        <v>1+0.0135906782744161j</v>
      </c>
      <c r="T187" s="87" t="str">
        <f t="shared" si="68"/>
        <v>-3.56839619091935+0.651147472398874j</v>
      </c>
      <c r="U187" s="87" t="str">
        <f t="shared" si="69"/>
        <v>-0.270534804877541-0.0531747940851443j</v>
      </c>
      <c r="V187" s="87" t="str">
        <f t="shared" si="70"/>
        <v>-6.39688208577437-1.25733503255514j</v>
      </c>
      <c r="X187" s="87" t="str">
        <f t="shared" si="71"/>
        <v>-0.356270902852107-2.70012569953499j</v>
      </c>
      <c r="Y187" s="87">
        <f t="shared" si="72"/>
        <v>8.702638636746947</v>
      </c>
      <c r="Z187" s="87">
        <f t="shared" si="73"/>
        <v>82.483468235565937</v>
      </c>
      <c r="AB187" s="87" t="str">
        <f t="shared" si="74"/>
        <v>-2.43006596246969-0.477640047927051j</v>
      </c>
      <c r="AC187" s="87">
        <f t="shared" si="75"/>
        <v>7.8769849881926195</v>
      </c>
      <c r="AD187" s="87">
        <f t="shared" si="76"/>
        <v>11.119979499561822</v>
      </c>
      <c r="AF187" s="87" t="str">
        <f t="shared" si="77"/>
        <v>-0.0356409668000713-0.891485472511355j</v>
      </c>
      <c r="AG187" s="87">
        <f t="shared" si="78"/>
        <v>-0.99077861160251435</v>
      </c>
      <c r="AH187" s="87">
        <f t="shared" si="79"/>
        <v>87.710573980565684</v>
      </c>
      <c r="AJ187" s="87" t="str">
        <f t="shared" si="80"/>
        <v>157498.717085028-449.50802243254j</v>
      </c>
      <c r="AK187" s="87" t="str">
        <f t="shared" si="81"/>
        <v>30000-0.000163088139292994j</v>
      </c>
      <c r="AL187" s="87" t="str">
        <f t="shared" si="95"/>
        <v>10000-122633.074892523j</v>
      </c>
      <c r="AM187" s="87" t="str">
        <f t="shared" si="96"/>
        <v>960.102667982481-38112.5340554906j</v>
      </c>
      <c r="AN187" s="87" t="str">
        <f t="shared" si="97"/>
        <v>10960.1026679825-38112.5340554906j</v>
      </c>
      <c r="AO187" s="87" t="str">
        <f t="shared" si="98"/>
        <v>18223.4455429933-10957.8419578837j</v>
      </c>
      <c r="AP187" s="87" t="str">
        <f t="shared" si="99"/>
        <v>0.160000175163466+0.000383582492993623j</v>
      </c>
      <c r="AQ187" s="87" t="str">
        <f t="shared" si="82"/>
        <v>1+24.7893971725351j</v>
      </c>
      <c r="AR187" s="87">
        <f t="shared" si="83"/>
        <v>-3.4920629545152721E-7</v>
      </c>
      <c r="AS187" s="87" t="str">
        <f t="shared" si="84"/>
        <v>0.00137968579242912j</v>
      </c>
      <c r="AT187" s="87" t="str">
        <f t="shared" si="85"/>
        <v>-3.49206295451527E-07+0.00137968579242912j</v>
      </c>
      <c r="AU187" s="87" t="str">
        <f t="shared" si="86"/>
        <v>5.39017128715248-0.218805095626543j</v>
      </c>
      <c r="AW187" s="87" t="str">
        <f t="shared" si="100"/>
        <v>0.845461022994694-0.139542636710793j</v>
      </c>
      <c r="AX187" s="87">
        <f t="shared" si="87"/>
        <v>-1.3414037744429375</v>
      </c>
      <c r="AY187" s="87">
        <f t="shared" si="88"/>
        <v>170.62787258250975</v>
      </c>
      <c r="AZ187" s="87" t="str">
        <f t="shared" si="89"/>
        <v>-2.12117720626062-0.0647282317594679j</v>
      </c>
      <c r="BA187" s="87">
        <f t="shared" si="90"/>
        <v>6.5355812137496816</v>
      </c>
      <c r="BB187" s="87">
        <f t="shared" si="91"/>
        <v>1.7478520820716028</v>
      </c>
      <c r="BD187" s="87" t="str">
        <f t="shared" si="92"/>
        <v>-0.15453328167491-0.748742785092154j</v>
      </c>
      <c r="BE187" s="87">
        <f t="shared" si="93"/>
        <v>-2.3321823860454569</v>
      </c>
      <c r="BF187" s="87">
        <f t="shared" si="94"/>
        <v>78.338446563075422</v>
      </c>
      <c r="BH187" s="87">
        <f t="shared" si="101"/>
        <v>3.3321823860454569</v>
      </c>
      <c r="BI187" s="107">
        <f t="shared" si="102"/>
        <v>-78.338446563075422</v>
      </c>
      <c r="BJ187" s="91"/>
      <c r="BK187" s="91"/>
      <c r="BL187" s="91"/>
      <c r="BM187" s="91"/>
      <c r="BN187" s="42"/>
      <c r="BO187" s="42"/>
      <c r="BP187" s="42"/>
    </row>
    <row r="188" spans="1:68" s="87" customFormat="1">
      <c r="A188" s="87">
        <v>124</v>
      </c>
      <c r="B188" s="87">
        <f t="shared" si="52"/>
        <v>30199.517204020169</v>
      </c>
      <c r="C188" s="87" t="str">
        <f t="shared" si="53"/>
        <v>189749.162780217j</v>
      </c>
      <c r="D188" s="87">
        <f t="shared" si="54"/>
        <v>0.98198497107445104</v>
      </c>
      <c r="E188" s="87" t="str">
        <f t="shared" si="55"/>
        <v>-0.21083240308913j</v>
      </c>
      <c r="F188" s="87" t="str">
        <f t="shared" si="56"/>
        <v>0.981984971074451-0.21083240308913j</v>
      </c>
      <c r="G188" s="87">
        <f t="shared" si="57"/>
        <v>3.7813027860481109E-2</v>
      </c>
      <c r="H188" s="87">
        <f t="shared" si="58"/>
        <v>-12.117462685484131</v>
      </c>
      <c r="J188" s="87">
        <f t="shared" si="59"/>
        <v>14.187192118226601</v>
      </c>
      <c r="K188" s="87" t="str">
        <f t="shared" si="60"/>
        <v>1+9.50168932621937j</v>
      </c>
      <c r="L188" s="87">
        <f t="shared" si="61"/>
        <v>-4.009146814686634</v>
      </c>
      <c r="M188" s="87" t="str">
        <f t="shared" si="62"/>
        <v>0.681835107340046j</v>
      </c>
      <c r="N188" s="87" t="str">
        <f t="shared" si="63"/>
        <v>-4.00914681468663+0.681835107340046j</v>
      </c>
      <c r="O188" s="87" t="str">
        <f t="shared" si="64"/>
        <v>0.149317635748193-2.34460840535618j</v>
      </c>
      <c r="P188" s="87" t="str">
        <f t="shared" si="65"/>
        <v>2.11839798499899-33.263409888797j</v>
      </c>
      <c r="R188" s="87">
        <f t="shared" si="66"/>
        <v>23.645320197044338</v>
      </c>
      <c r="S188" s="87" t="str">
        <f t="shared" si="67"/>
        <v>1+0.0142311872085163j</v>
      </c>
      <c r="T188" s="87" t="str">
        <f t="shared" si="68"/>
        <v>-4.00914681468663+0.681835107340046j</v>
      </c>
      <c r="U188" s="87" t="str">
        <f t="shared" si="69"/>
        <v>-0.24183126452438-0.0446778932508803j</v>
      </c>
      <c r="V188" s="87" t="str">
        <f t="shared" si="70"/>
        <v>-5.71817768333509-1.05642309164643j</v>
      </c>
      <c r="X188" s="87" t="str">
        <f t="shared" si="71"/>
        <v>-0.374774944584586-2.51564484515716j</v>
      </c>
      <c r="Y188" s="87">
        <f t="shared" si="72"/>
        <v>8.1083213252652087</v>
      </c>
      <c r="Z188" s="87">
        <f t="shared" si="73"/>
        <v>81.526528392786034</v>
      </c>
      <c r="AB188" s="87" t="str">
        <f t="shared" si="74"/>
        <v>-2.17223778229832-0.401317042045526j</v>
      </c>
      <c r="AC188" s="87">
        <f t="shared" si="75"/>
        <v>6.8839066198325947</v>
      </c>
      <c r="AD188" s="87">
        <f t="shared" si="76"/>
        <v>10.467268421444317</v>
      </c>
      <c r="AF188" s="87" t="str">
        <f t="shared" si="77"/>
        <v>-0.0518748129407919-0.850598745535191j</v>
      </c>
      <c r="AG188" s="87">
        <f t="shared" si="78"/>
        <v>-1.389382402868057</v>
      </c>
      <c r="AH188" s="87">
        <f t="shared" si="79"/>
        <v>86.510068705291758</v>
      </c>
      <c r="AJ188" s="87" t="str">
        <f t="shared" si="80"/>
        <v>157498.593312811-470.692312967643j</v>
      </c>
      <c r="AK188" s="87" t="str">
        <f t="shared" si="81"/>
        <v>30000-0.000170774246502195j</v>
      </c>
      <c r="AL188" s="87" t="str">
        <f t="shared" si="95"/>
        <v>10000-117113.677323371j</v>
      </c>
      <c r="AM188" s="87" t="str">
        <f t="shared" si="96"/>
        <v>959.810728933898-36402.1450155354j</v>
      </c>
      <c r="AN188" s="87" t="str">
        <f t="shared" si="97"/>
        <v>10959.8107289339-36402.1450155354j</v>
      </c>
      <c r="AO188" s="87" t="str">
        <f t="shared" si="98"/>
        <v>17723.6057530988-10910.3795778242j</v>
      </c>
      <c r="AP188" s="87" t="str">
        <f t="shared" si="99"/>
        <v>0.160000192062917+0.000401660170865301j</v>
      </c>
      <c r="AQ188" s="87" t="str">
        <f t="shared" si="82"/>
        <v>1+25.9576854683337j</v>
      </c>
      <c r="AR188" s="87">
        <f t="shared" si="83"/>
        <v>-3.9254490853285234E-7</v>
      </c>
      <c r="AS188" s="87" t="str">
        <f t="shared" si="84"/>
        <v>0.00144470838059276j</v>
      </c>
      <c r="AT188" s="87" t="str">
        <f t="shared" si="85"/>
        <v>-3.92544908532852E-07+0.00144470838059276j</v>
      </c>
      <c r="AU188" s="87" t="str">
        <f t="shared" si="86"/>
        <v>5.39016984779325-0.209118939011014j</v>
      </c>
      <c r="AW188" s="87" t="str">
        <f t="shared" si="100"/>
        <v>0.844257245221966-0.142767094659957j</v>
      </c>
      <c r="AX188" s="87">
        <f t="shared" si="87"/>
        <v>-1.3480553834622031</v>
      </c>
      <c r="AY188" s="87">
        <f t="shared" si="88"/>
        <v>170.40186915384663</v>
      </c>
      <c r="AZ188" s="87" t="str">
        <f t="shared" si="89"/>
        <v>-1.89122235418062-0.0286907432886643j</v>
      </c>
      <c r="BA188" s="87">
        <f t="shared" si="90"/>
        <v>5.5358512363703918</v>
      </c>
      <c r="BB188" s="87">
        <f t="shared" si="91"/>
        <v>0.86913757529092095</v>
      </c>
      <c r="BD188" s="87" t="str">
        <f t="shared" si="92"/>
        <v>-0.165233198291261-0.710718137365214j</v>
      </c>
      <c r="BE188" s="87">
        <f t="shared" si="93"/>
        <v>-2.7374377863302679</v>
      </c>
      <c r="BF188" s="87">
        <f t="shared" si="94"/>
        <v>76.911937859138376</v>
      </c>
      <c r="BH188" s="87">
        <f t="shared" si="101"/>
        <v>3.7374377863302679</v>
      </c>
      <c r="BI188" s="107">
        <f t="shared" si="102"/>
        <v>-76.911937859138376</v>
      </c>
      <c r="BJ188" s="91"/>
      <c r="BK188" s="91"/>
      <c r="BL188" s="91"/>
      <c r="BM188" s="91"/>
      <c r="BN188" s="42"/>
      <c r="BO188" s="42"/>
      <c r="BP188" s="42"/>
    </row>
    <row r="189" spans="1:68" s="87" customFormat="1">
      <c r="A189" s="87">
        <v>125</v>
      </c>
      <c r="B189" s="87">
        <f t="shared" si="52"/>
        <v>31622.776601683825</v>
      </c>
      <c r="C189" s="87" t="str">
        <f t="shared" si="53"/>
        <v>198691.765315922j</v>
      </c>
      <c r="D189" s="87">
        <f t="shared" si="54"/>
        <v>0.98024691358024696</v>
      </c>
      <c r="E189" s="87" t="str">
        <f t="shared" si="55"/>
        <v>-0.220768628128802j</v>
      </c>
      <c r="F189" s="87" t="str">
        <f t="shared" si="56"/>
        <v>0.980246913580247-0.220768628128802j</v>
      </c>
      <c r="G189" s="87">
        <f t="shared" si="57"/>
        <v>4.1591490110891929E-2</v>
      </c>
      <c r="H189" s="87">
        <f t="shared" si="58"/>
        <v>-12.692236995706214</v>
      </c>
      <c r="J189" s="87">
        <f t="shared" si="59"/>
        <v>14.187192118226601</v>
      </c>
      <c r="K189" s="87" t="str">
        <f t="shared" si="60"/>
        <v>1+9.94949014819479j</v>
      </c>
      <c r="L189" s="87">
        <f t="shared" si="61"/>
        <v>-4.4924202635839539</v>
      </c>
      <c r="M189" s="87" t="str">
        <f t="shared" si="62"/>
        <v>0.71396900595911j</v>
      </c>
      <c r="N189" s="87" t="str">
        <f t="shared" si="63"/>
        <v>-4.49242026358395+0.71396900595911j</v>
      </c>
      <c r="O189" s="87" t="str">
        <f t="shared" si="64"/>
        <v>0.126196543121261-2.19467216984758j</v>
      </c>
      <c r="P189" s="87" t="str">
        <f t="shared" si="65"/>
        <v>1.7903746019174-31.1362357101529j</v>
      </c>
      <c r="R189" s="87">
        <f t="shared" si="66"/>
        <v>23.645320197044338</v>
      </c>
      <c r="S189" s="87" t="str">
        <f t="shared" si="67"/>
        <v>1+0.0149018823986942j</v>
      </c>
      <c r="T189" s="87" t="str">
        <f t="shared" si="68"/>
        <v>-4.49242026358395+0.71396900595911j</v>
      </c>
      <c r="U189" s="87" t="str">
        <f t="shared" si="69"/>
        <v>-0.216599132410726-0.0377406697748098j</v>
      </c>
      <c r="V189" s="87" t="str">
        <f t="shared" si="70"/>
        <v>-5.12155584025362-0.892390221276291j</v>
      </c>
      <c r="X189" s="87" t="str">
        <f t="shared" si="71"/>
        <v>-0.388916100389248-2.34892655652276j</v>
      </c>
      <c r="Y189" s="87">
        <f t="shared" si="72"/>
        <v>7.5348437023599022</v>
      </c>
      <c r="Z189" s="87">
        <f t="shared" si="73"/>
        <v>80.59872197756215</v>
      </c>
      <c r="AB189" s="87" t="str">
        <f t="shared" si="74"/>
        <v>-1.94559136082334-0.339003763534559j</v>
      </c>
      <c r="AC189" s="87">
        <f t="shared" si="75"/>
        <v>5.9109236702217292</v>
      </c>
      <c r="AD189" s="87">
        <f t="shared" si="76"/>
        <v>9.8841013779860134</v>
      </c>
      <c r="AF189" s="87" t="str">
        <f t="shared" si="77"/>
        <v>-0.0666495746302982-0.810950377976367j</v>
      </c>
      <c r="AG189" s="87">
        <f t="shared" si="78"/>
        <v>-1.7908777218141079</v>
      </c>
      <c r="AH189" s="87">
        <f t="shared" si="79"/>
        <v>85.301591852313138</v>
      </c>
      <c r="AJ189" s="87" t="str">
        <f t="shared" si="80"/>
        <v>157498.457599498-492.87493355592j</v>
      </c>
      <c r="AK189" s="87" t="str">
        <f t="shared" si="81"/>
        <v>30000-0.00017882258878433j</v>
      </c>
      <c r="AL189" s="87" t="str">
        <f t="shared" si="95"/>
        <v>10000-111842.693565527j</v>
      </c>
      <c r="AM189" s="87" t="str">
        <f t="shared" si="96"/>
        <v>959.490828124114-34768.9664975083j</v>
      </c>
      <c r="AN189" s="87" t="str">
        <f t="shared" si="97"/>
        <v>10959.4908281241-34768.9664975083j</v>
      </c>
      <c r="AO189" s="87" t="str">
        <f t="shared" si="98"/>
        <v>17229.2520481601-10840.6061107474j</v>
      </c>
      <c r="AP189" s="87" t="str">
        <f t="shared" si="99"/>
        <v>0.160000210592796+0.000420589822249992j</v>
      </c>
      <c r="AQ189" s="87" t="str">
        <f t="shared" si="82"/>
        <v>1+27.1810334952181j</v>
      </c>
      <c r="AR189" s="87">
        <f t="shared" si="83"/>
        <v>-4.4006475282760928E-7</v>
      </c>
      <c r="AS189" s="87" t="str">
        <f t="shared" si="84"/>
        <v>0.00151279538892706j</v>
      </c>
      <c r="AT189" s="87" t="str">
        <f t="shared" si="85"/>
        <v>-4.40064752827609E-07+0.00151279538892706j</v>
      </c>
      <c r="AU189" s="87" t="str">
        <f t="shared" si="86"/>
        <v>5.39016852491298-0.199876351681684j</v>
      </c>
      <c r="AW189" s="87" t="str">
        <f t="shared" si="100"/>
        <v>0.842941198491393-0.146265478040826j</v>
      </c>
      <c r="AX189" s="87">
        <f t="shared" si="87"/>
        <v>-1.3552246878572893</v>
      </c>
      <c r="AY189" s="87">
        <f t="shared" si="88"/>
        <v>170.15616387861854</v>
      </c>
      <c r="AZ189" s="87" t="str">
        <f t="shared" si="89"/>
        <v>-1.68960366099794-0.00118738826398734j</v>
      </c>
      <c r="BA189" s="87">
        <f t="shared" si="90"/>
        <v>4.5556989823643992</v>
      </c>
      <c r="BB189" s="87">
        <f t="shared" si="91"/>
        <v>4.0265256604527622E-2</v>
      </c>
      <c r="BD189" s="87" t="str">
        <f t="shared" si="92"/>
        <v>-0.174795717019906-0.673834951633926j</v>
      </c>
      <c r="BE189" s="87">
        <f t="shared" si="93"/>
        <v>-3.1461024096714345</v>
      </c>
      <c r="BF189" s="87">
        <f t="shared" si="94"/>
        <v>75.457755730931694</v>
      </c>
      <c r="BH189" s="87">
        <f t="shared" si="101"/>
        <v>4.1461024096714345</v>
      </c>
      <c r="BI189" s="107">
        <f t="shared" si="102"/>
        <v>-75.457755730931694</v>
      </c>
      <c r="BJ189" s="91"/>
      <c r="BK189" s="91"/>
      <c r="BL189" s="91"/>
      <c r="BM189" s="91"/>
      <c r="BN189" s="42"/>
      <c r="BO189" s="42"/>
      <c r="BP189" s="42"/>
    </row>
    <row r="190" spans="1:68" s="87" customFormat="1">
      <c r="A190" s="87">
        <v>126</v>
      </c>
      <c r="B190" s="87">
        <f t="shared" si="52"/>
        <v>33113.112148259133</v>
      </c>
      <c r="C190" s="87" t="str">
        <f t="shared" si="53"/>
        <v>208055.819724932j</v>
      </c>
      <c r="D190" s="87">
        <f t="shared" si="54"/>
        <v>0.97834117143420862</v>
      </c>
      <c r="E190" s="87" t="str">
        <f t="shared" si="55"/>
        <v>-0.231173133027702j</v>
      </c>
      <c r="F190" s="87" t="str">
        <f t="shared" si="56"/>
        <v>0.978341171434209-0.231173133027702j</v>
      </c>
      <c r="G190" s="87">
        <f t="shared" si="57"/>
        <v>4.5760558724363867E-2</v>
      </c>
      <c r="H190" s="87">
        <f t="shared" si="58"/>
        <v>-13.294624238158331</v>
      </c>
      <c r="J190" s="87">
        <f t="shared" si="59"/>
        <v>14.187192118226601</v>
      </c>
      <c r="K190" s="87" t="str">
        <f t="shared" si="60"/>
        <v>1+10.418395172726j</v>
      </c>
      <c r="L190" s="87">
        <f t="shared" si="61"/>
        <v>-5.0223190630748435</v>
      </c>
      <c r="M190" s="87" t="str">
        <f t="shared" si="62"/>
        <v>0.747617328563309j</v>
      </c>
      <c r="N190" s="87" t="str">
        <f t="shared" si="63"/>
        <v>-5.02231906307484+0.747617328563309j</v>
      </c>
      <c r="O190" s="87" t="str">
        <f t="shared" si="64"/>
        <v>0.107306924452272-2.0584456157991j</v>
      </c>
      <c r="P190" s="87" t="str">
        <f t="shared" si="65"/>
        <v>1.52238395282041-29.2035634162631j</v>
      </c>
      <c r="R190" s="87">
        <f t="shared" si="66"/>
        <v>23.645320197044338</v>
      </c>
      <c r="S190" s="87" t="str">
        <f t="shared" si="67"/>
        <v>1+0.0156041864793699j</v>
      </c>
      <c r="T190" s="87" t="str">
        <f t="shared" si="68"/>
        <v>-5.02231906307484+0.747617328563309j</v>
      </c>
      <c r="U190" s="87" t="str">
        <f t="shared" si="69"/>
        <v>-0.194342274644812-0.0320365625233165j</v>
      </c>
      <c r="V190" s="87" t="str">
        <f t="shared" si="70"/>
        <v>-4.59528531179851-0.757514778876449j</v>
      </c>
      <c r="X190" s="87" t="str">
        <f t="shared" si="71"/>
        <v>-0.399763540846296-2.19746916938896j</v>
      </c>
      <c r="Y190" s="87">
        <f t="shared" si="72"/>
        <v>6.9798578960063224</v>
      </c>
      <c r="Z190" s="87">
        <f t="shared" si="73"/>
        <v>79.689507833661366</v>
      </c>
      <c r="AB190" s="87" t="str">
        <f t="shared" si="74"/>
        <v>-1.74567019906022-0.287766892609929j</v>
      </c>
      <c r="AC190" s="87">
        <f t="shared" si="75"/>
        <v>4.9556851144853056</v>
      </c>
      <c r="AD190" s="87">
        <f t="shared" si="76"/>
        <v>9.360799757034556</v>
      </c>
      <c r="AF190" s="87" t="str">
        <f t="shared" si="77"/>
        <v>-0.0800623724085109-0.772531359157288j</v>
      </c>
      <c r="AG190" s="87">
        <f t="shared" si="78"/>
        <v>-2.1952809476157715</v>
      </c>
      <c r="AH190" s="87">
        <f t="shared" si="79"/>
        <v>84.083194246415516</v>
      </c>
      <c r="AJ190" s="87" t="str">
        <f t="shared" si="80"/>
        <v>157498.308793077-516.102925924438j</v>
      </c>
      <c r="AK190" s="87" t="str">
        <f t="shared" si="81"/>
        <v>30000-0.000187250237752439j</v>
      </c>
      <c r="AL190" s="87" t="str">
        <f t="shared" si="95"/>
        <v>10000-106808.943155745j</v>
      </c>
      <c r="AM190" s="87" t="str">
        <f t="shared" si="96"/>
        <v>959.14030886728-33209.5338244979j</v>
      </c>
      <c r="AN190" s="87" t="str">
        <f t="shared" si="97"/>
        <v>10959.1403088673-33209.5338244979j</v>
      </c>
      <c r="AO190" s="87" t="str">
        <f t="shared" si="98"/>
        <v>16742.3469986111-10749.2606382868j</v>
      </c>
      <c r="AP190" s="87" t="str">
        <f t="shared" si="99"/>
        <v>0.160000230910404+0.000440411599244983j</v>
      </c>
      <c r="AQ190" s="87" t="str">
        <f t="shared" si="82"/>
        <v>1+28.4620361383707j</v>
      </c>
      <c r="AR190" s="87">
        <f t="shared" si="83"/>
        <v>-4.9216922598093529E-7</v>
      </c>
      <c r="AS190" s="87" t="str">
        <f t="shared" si="84"/>
        <v>0.00158409123910529j</v>
      </c>
      <c r="AT190" s="87" t="str">
        <f t="shared" si="85"/>
        <v>-4.92169225980935E-07+0.00158409123910529j</v>
      </c>
      <c r="AU190" s="87" t="str">
        <f t="shared" si="86"/>
        <v>5.39016730728168-0.19105772887329j</v>
      </c>
      <c r="AW190" s="87" t="str">
        <f t="shared" si="100"/>
        <v>0.841502801094625-0.150041076575286j</v>
      </c>
      <c r="AX190" s="87">
        <f t="shared" si="87"/>
        <v>-1.3629697803427709</v>
      </c>
      <c r="AY190" s="87">
        <f t="shared" si="88"/>
        <v>169.89032579988432</v>
      </c>
      <c r="AZ190" s="87" t="str">
        <f t="shared" si="89"/>
        <v>-1.5121632166665+0.0197655898188372j</v>
      </c>
      <c r="BA190" s="87">
        <f t="shared" si="90"/>
        <v>3.5927153341425049</v>
      </c>
      <c r="BB190" s="87">
        <f t="shared" si="91"/>
        <v>-0.74887444308109252</v>
      </c>
      <c r="BD190" s="87" t="str">
        <f t="shared" si="92"/>
        <v>-0.18328414746017-0.638074658114949j</v>
      </c>
      <c r="BE190" s="87">
        <f t="shared" si="93"/>
        <v>-3.5582507279585736</v>
      </c>
      <c r="BF190" s="87">
        <f t="shared" si="94"/>
        <v>73.97352004629991</v>
      </c>
      <c r="BH190" s="87">
        <f t="shared" si="101"/>
        <v>4.5582507279585736</v>
      </c>
      <c r="BI190" s="107">
        <f t="shared" si="102"/>
        <v>-73.97352004629991</v>
      </c>
      <c r="BJ190" s="91"/>
      <c r="BK190" s="91"/>
      <c r="BL190" s="91"/>
      <c r="BM190" s="91"/>
      <c r="BN190" s="42"/>
      <c r="BO190" s="42"/>
      <c r="BP190" s="42"/>
    </row>
    <row r="191" spans="1:68" s="87" customFormat="1">
      <c r="A191" s="87">
        <v>127</v>
      </c>
      <c r="B191" s="87">
        <f t="shared" si="52"/>
        <v>34673.68504525318</v>
      </c>
      <c r="C191" s="87" t="str">
        <f t="shared" si="53"/>
        <v>217861.188422107j</v>
      </c>
      <c r="D191" s="87">
        <f t="shared" si="54"/>
        <v>0.97625156672360669</v>
      </c>
      <c r="E191" s="87" t="str">
        <f t="shared" si="55"/>
        <v>-0.242067987135674j</v>
      </c>
      <c r="F191" s="87" t="str">
        <f t="shared" si="56"/>
        <v>0.976251566723607-0.242067987135674j</v>
      </c>
      <c r="G191" s="87">
        <f t="shared" si="57"/>
        <v>5.0363096325730494E-2</v>
      </c>
      <c r="H191" s="87">
        <f t="shared" si="58"/>
        <v>-13.92599758091138</v>
      </c>
      <c r="J191" s="87">
        <f t="shared" si="59"/>
        <v>14.187192118226601</v>
      </c>
      <c r="K191" s="87" t="str">
        <f t="shared" si="60"/>
        <v>1+10.909399010237j</v>
      </c>
      <c r="L191" s="87">
        <f t="shared" si="61"/>
        <v>-5.603341542878975</v>
      </c>
      <c r="M191" s="87" t="str">
        <f t="shared" si="62"/>
        <v>0.782851447756187j</v>
      </c>
      <c r="N191" s="87" t="str">
        <f t="shared" si="63"/>
        <v>-5.60334154287898+0.782851447756187j</v>
      </c>
      <c r="O191" s="87" t="str">
        <f t="shared" si="64"/>
        <v>0.0917547765506904-1.93412601527899j</v>
      </c>
      <c r="P191" s="87" t="str">
        <f t="shared" si="65"/>
        <v>1.3017426426896-27.4398173596231j</v>
      </c>
      <c r="R191" s="87">
        <f t="shared" si="66"/>
        <v>23.645320197044338</v>
      </c>
      <c r="S191" s="87" t="str">
        <f t="shared" si="67"/>
        <v>1+0.016339589131658j</v>
      </c>
      <c r="T191" s="87" t="str">
        <f t="shared" si="68"/>
        <v>-5.60334154287898+0.782851447756187j</v>
      </c>
      <c r="U191" s="87" t="str">
        <f t="shared" si="69"/>
        <v>-0.174648513858257-0.0273164557046469j</v>
      </c>
      <c r="V191" s="87" t="str">
        <f t="shared" si="70"/>
        <v>-4.12962003211642-0.645906341784754j</v>
      </c>
      <c r="X191" s="87" t="str">
        <f t="shared" si="71"/>
        <v>-0.408106126683691-2.05921400286047j</v>
      </c>
      <c r="Y191" s="87">
        <f t="shared" si="72"/>
        <v>6.4413446901583171</v>
      </c>
      <c r="Z191" s="87">
        <f t="shared" si="73"/>
        <v>78.790073085953409</v>
      </c>
      <c r="AB191" s="87" t="str">
        <f t="shared" si="74"/>
        <v>-1.56877193348551-0.245368758571456j</v>
      </c>
      <c r="AC191" s="87">
        <f t="shared" si="75"/>
        <v>4.0161611912656445</v>
      </c>
      <c r="AD191" s="87">
        <f t="shared" si="76"/>
        <v>8.8895058347301017</v>
      </c>
      <c r="AF191" s="87" t="str">
        <f t="shared" si="77"/>
        <v>-0.0922037273313727-0.735327707599968j</v>
      </c>
      <c r="AG191" s="87">
        <f t="shared" si="78"/>
        <v>-2.60262856720448</v>
      </c>
      <c r="AH191" s="87">
        <f t="shared" si="79"/>
        <v>82.852907484499553</v>
      </c>
      <c r="AJ191" s="87" t="str">
        <f t="shared" si="80"/>
        <v>157498.145630405-540.425547605761j</v>
      </c>
      <c r="AK191" s="87" t="str">
        <f t="shared" si="81"/>
        <v>30000-0.000196075069579896j</v>
      </c>
      <c r="AL191" s="87" t="str">
        <f t="shared" si="95"/>
        <v>10000-102001.748834522j</v>
      </c>
      <c r="AM191" s="87" t="str">
        <f t="shared" si="96"/>
        <v>958.756266383232-31720.5386733487j</v>
      </c>
      <c r="AN191" s="87" t="str">
        <f t="shared" si="97"/>
        <v>10958.7562663832-31720.5386733487j</v>
      </c>
      <c r="AO191" s="87" t="str">
        <f t="shared" si="98"/>
        <v>16264.7320759271-10637.2882394278j</v>
      </c>
      <c r="AP191" s="87" t="str">
        <f t="shared" si="99"/>
        <v>0.160000253188216+0.000461167546231304j</v>
      </c>
      <c r="AQ191" s="87" t="str">
        <f t="shared" si="82"/>
        <v>1+29.8034105761442j</v>
      </c>
      <c r="AR191" s="87">
        <f t="shared" si="83"/>
        <v>-5.4930064471507769E-7</v>
      </c>
      <c r="AS191" s="87" t="str">
        <f t="shared" si="84"/>
        <v>0.00165874715918447j</v>
      </c>
      <c r="AT191" s="87" t="str">
        <f t="shared" si="85"/>
        <v>-5.49300644715078E-07+0.00165874715918447j</v>
      </c>
      <c r="AU191" s="87" t="str">
        <f t="shared" si="86"/>
        <v>5.39016618456282-0.182644365105803j</v>
      </c>
      <c r="AW191" s="87" t="str">
        <f t="shared" si="100"/>
        <v>0.839931144859712-0.154097193943422j</v>
      </c>
      <c r="AX191" s="87">
        <f t="shared" si="87"/>
        <v>-1.3713531032917725</v>
      </c>
      <c r="AY191" s="87">
        <f t="shared" si="88"/>
        <v>169.60389477495806</v>
      </c>
      <c r="AZ191" s="87" t="str">
        <f t="shared" si="89"/>
        <v>-1.35547104329351+0.0356504905875847j</v>
      </c>
      <c r="BA191" s="87">
        <f t="shared" si="90"/>
        <v>2.6448080879738689</v>
      </c>
      <c r="BB191" s="87">
        <f t="shared" si="91"/>
        <v>-1.5065993903118624</v>
      </c>
      <c r="BD191" s="87" t="str">
        <f t="shared" si="92"/>
        <v>-0.190756718627777-0.603416307638619j</v>
      </c>
      <c r="BE191" s="87">
        <f t="shared" si="93"/>
        <v>-3.9739816704962623</v>
      </c>
      <c r="BF191" s="87">
        <f t="shared" si="94"/>
        <v>72.456802259457561</v>
      </c>
      <c r="BH191" s="87">
        <f t="shared" si="101"/>
        <v>4.9739816704962623</v>
      </c>
      <c r="BI191" s="107">
        <f t="shared" si="102"/>
        <v>-72.456802259457561</v>
      </c>
      <c r="BJ191" s="91"/>
      <c r="BK191" s="91"/>
      <c r="BL191" s="91"/>
      <c r="BM191" s="91"/>
      <c r="BN191" s="42"/>
      <c r="BO191" s="42"/>
      <c r="BP191" s="42"/>
    </row>
    <row r="192" spans="1:68" s="87" customFormat="1">
      <c r="A192" s="87">
        <v>128</v>
      </c>
      <c r="B192" s="87">
        <f t="shared" ref="B192:B255" si="103">Fstart*10^(Step*A192)</f>
        <v>36307.805477010152</v>
      </c>
      <c r="C192" s="87" t="str">
        <f t="shared" ref="C192:C255" si="104">COMPLEX(0,2*PI()*B192,"j")</f>
        <v>228128.669909085j</v>
      </c>
      <c r="D192" s="87">
        <f t="shared" ref="D192:D255" si="105">(IMPRODUCT(C192,C192))/wn^2 + 1</f>
        <v>0.97396036071987335</v>
      </c>
      <c r="E192" s="87" t="str">
        <f t="shared" ref="E192:E255" si="106">IMDIV(C192,wn*Qn)</f>
        <v>-0.253476299898983j</v>
      </c>
      <c r="F192" s="87" t="str">
        <f t="shared" ref="F192:F255" si="107">IMSUM(D192,E192)</f>
        <v>0.973960360719873-0.253476299898983j</v>
      </c>
      <c r="G192" s="87">
        <f t="shared" ref="G192:G255" si="108">20*LOG(IMABS(F192),10)</f>
        <v>5.5447117362845584E-2</v>
      </c>
      <c r="H192" s="87">
        <f t="shared" ref="H192:H255" si="109">(IMARGUMENT(F192)*(180/PI()))</f>
        <v>-14.587804019565871</v>
      </c>
      <c r="J192" s="87">
        <f t="shared" ref="J192:J255" si="110">Vin/(Rout+DCR/1000)</f>
        <v>14.187192118226601</v>
      </c>
      <c r="K192" s="87" t="str">
        <f t="shared" ref="K192:K255" si="111">IMSUM(1,IMPRODUCT(C192,ncap*(Cap*10^-6)*(Rout+(ESR/(ncap*1000)))))</f>
        <v>1+11.4235431456974j</v>
      </c>
      <c r="L192" s="87">
        <f t="shared" ref="L192:L255" si="112">(IMPRODUCT(C192,C192))/Gdo^2 + 1</f>
        <v>-6.2404200234533418</v>
      </c>
      <c r="M192" s="87" t="str">
        <f t="shared" ref="M192:M255" si="113">IMDIV(C192,Q*Gdo)</f>
        <v>0.819746099828483j</v>
      </c>
      <c r="N192" s="87" t="str">
        <f t="shared" ref="N192:N255" si="114">IMSUM(L192,M192)</f>
        <v>-6.24042002345334+0.819746099828483j</v>
      </c>
      <c r="O192" s="87" t="str">
        <f t="shared" ref="O192:O255" si="115">IMDIV(K192,N192)</f>
        <v>0.0788589841886633-1.82021382507623j</v>
      </c>
      <c r="P192" s="87" t="str">
        <f t="shared" ref="P192:P255" si="116">IMPRODUCT(J192,O192)</f>
        <v>1.11878755893276-25.8237232326086j</v>
      </c>
      <c r="R192" s="87">
        <f t="shared" ref="R192:R255" si="117">Vin/(1+((DCR*10^-3)/Rout))</f>
        <v>23.645320197044338</v>
      </c>
      <c r="S192" s="87" t="str">
        <f t="shared" ref="S192:S255" si="118">IMSUM(1,IMPRODUCT(C192,ncap*(Cap*10^-6)*(ESR/(ncap*1000))))</f>
        <v>1+0.0171096502431814j</v>
      </c>
      <c r="T192" s="87" t="str">
        <f t="shared" ref="T192:T255" si="119">IMSUM(L192,M192)</f>
        <v>-6.24042002345334+0.819746099828483j</v>
      </c>
      <c r="U192" s="87" t="str">
        <f t="shared" ref="U192:U255" si="120">IMDIV(S192,T192)</f>
        <v>-0.157173339488763-0.023388150435j</v>
      </c>
      <c r="V192" s="87" t="str">
        <f t="shared" ref="V192:V255" si="121">IMPRODUCT(R192,U192)</f>
        <v>-3.71641393865055-0.553020305852217j</v>
      </c>
      <c r="X192" s="87" t="str">
        <f t="shared" ref="X192:X255" si="122">IMPRODUCT(Fm,Dmax,P192,F192)</f>
        <v>-0.414531770988541-1.93245423026836j</v>
      </c>
      <c r="Y192" s="87">
        <f t="shared" ref="Y192:Y255" si="123">20*LOG(IMABS(X192),10)</f>
        <v>5.9175624803967954</v>
      </c>
      <c r="Z192" s="87">
        <f t="shared" ref="Z192:Z255" si="124">IF((IMARGUMENT(X192)*(180/PI()))&lt;0,(IMARGUMENT(X192)*(180/PI()))+180,(IMARGUMENT(X192)*(180/PI()))-180)</f>
        <v>77.892928293369636</v>
      </c>
      <c r="AB192" s="87" t="str">
        <f t="shared" ref="AB192:AB255" si="125">IMPRODUCT(Fm,V192)</f>
        <v>-1.41180201442925-0.210082944125953j</v>
      </c>
      <c r="AC192" s="87">
        <f t="shared" ref="AC192:AC255" si="126">20*LOG(IMABS(AB192),10)</f>
        <v>3.0905919985803179</v>
      </c>
      <c r="AD192" s="87">
        <f t="shared" ref="AD192:AD255" si="127">IF((IMARGUMENT(AB192)*(180/PI()))&lt;0,(IMARGUMENT(AB192)*(180/PI()))+180,(IMARGUMENT(AB192)*(180/PI()))-180)</f>
        <v>8.4637819739987776</v>
      </c>
      <c r="AF192" s="87" t="str">
        <f t="shared" ref="AF192:AF255" si="128">IMDIV(AB192,IMSUM(1,X192))</f>
        <v>-0.103157672275191-0.699321336343205j</v>
      </c>
      <c r="AG192" s="87">
        <f t="shared" ref="AG192:AG255" si="129">20*LOG(IMABS(AF192),10)</f>
        <v>-3.0129774532538796</v>
      </c>
      <c r="AH192" s="87">
        <f t="shared" ref="AH192:AH255" si="130">IF((IMARGUMENT(AF192)*(180/PI()))&lt;0,(IMARGUMENT(AF192)*(180/PI()))+180,(IMARGUMENT(AF192)*(180/PI()))-180)</f>
        <v>81.60874952840058</v>
      </c>
      <c r="AJ192" s="87" t="str">
        <f t="shared" ref="AJ192:AJ255" si="131">IMDIV(_Rfb1,IMSUM(1,IMPRODUCT(C192,_Cfb1*_Rfb1)))</f>
        <v>157497.966726481-565.894376187486j</v>
      </c>
      <c r="AK192" s="87" t="str">
        <f t="shared" ref="AK192:AK255" si="132">IMDIV(_Rfb2,IMSUM(1,IMPRODUCT(C192,_Cfb2*_Rfb2)))</f>
        <v>30000-0.000205315802918176j</v>
      </c>
      <c r="AL192" s="87" t="str">
        <f t="shared" si="95"/>
        <v>10000-97410.9138981891j</v>
      </c>
      <c r="AM192" s="87" t="str">
        <f t="shared" si="96"/>
        <v>958.335525499508-30298.8220469838j</v>
      </c>
      <c r="AN192" s="87" t="str">
        <f t="shared" si="97"/>
        <v>10958.3355254995-30298.8220469838j</v>
      </c>
      <c r="AO192" s="87" t="str">
        <f t="shared" si="98"/>
        <v>15798.1016880433-10505.8172693996j</v>
      </c>
      <c r="AP192" s="87" t="str">
        <f t="shared" si="99"/>
        <v>0.160000277615351+0.000482901689050468j</v>
      </c>
      <c r="AQ192" s="87" t="str">
        <f t="shared" ref="AQ192:AQ255" si="133">IMSUM(1,IMPRODUCT(C192,_res1*_Cap1))</f>
        <v>1+31.2080020435628j</v>
      </c>
      <c r="AR192" s="87">
        <f t="shared" ref="AR192:AR255" si="134">(IMPRODUCT(C192,C192))*_res1*_Cap1*_cap2 + (1/Roerr)</f>
        <v>-6.119439996718E-7</v>
      </c>
      <c r="AS192" s="87" t="str">
        <f t="shared" ref="AS192:AS255" si="135">IMPRODUCT(C192,(_Cap1+_cap2+(_Cap1*_res1/Roerr)))</f>
        <v>0.00173692150438039j</v>
      </c>
      <c r="AT192" s="87" t="str">
        <f t="shared" ref="AT192:AT255" si="136">IMSUM(AR192,AS192)</f>
        <v>-0.0000006119439996718+0.00173692150438039j</v>
      </c>
      <c r="AU192" s="87" t="str">
        <f t="shared" ref="AU192:AU255" si="137">IMPRODUCT(EA_BW,IMDIV(AQ192,AT192))</f>
        <v>5.39016514722561-0.174618414507615j</v>
      </c>
      <c r="AW192" s="87" t="str">
        <f t="shared" si="100"/>
        <v>0.838214442902775-0.158437079120599j</v>
      </c>
      <c r="AX192" s="87">
        <f t="shared" ref="AX192:AX255" si="138">20*LOG(IMABS(AW192),10)</f>
        <v>-1.3804418730185584</v>
      </c>
      <c r="AY192" s="87">
        <f t="shared" ref="AY192:AY255" si="139">IF((IMARGUMENT(AW192)*(180/PI()))&lt;0,(IMARGUMENT(AW192)*(180/PI()))+180,(IMARGUMENT(AW192)*(180/PI()))-180)</f>
        <v>169.29638229015626</v>
      </c>
      <c r="AZ192" s="87" t="str">
        <f t="shared" ref="AZ192:AZ255" si="140">IMPRODUCT(AW192,Fm,V192)</f>
        <v>-1.2166777670542+0.0475872294888368j</v>
      </c>
      <c r="BA192" s="87">
        <f t="shared" ref="BA192:BA255" si="141">20*LOG(IMABS(AZ192),10)</f>
        <v>1.7101501255617471</v>
      </c>
      <c r="BB192" s="87">
        <f t="shared" ref="BB192:BB255" si="142">IF((IMARGUMENT(AZ192)*(180/PI()))&lt;0,(IMARGUMENT(AZ192)*(180/PI()))+180,(IMARGUMENT(AZ192)*(180/PI()))-180)</f>
        <v>-2.2398357358449061</v>
      </c>
      <c r="BD192" s="87" t="str">
        <f t="shared" ref="BD192:BD255" si="143">IMDIV(AZ192,IMSUM(1,X192))</f>
        <v>-0.197266680694227-0.569837244068782j</v>
      </c>
      <c r="BE192" s="87">
        <f t="shared" ref="BE192:BE255" si="144">20*LOG(IMABS(BD192),10)</f>
        <v>-4.3934193262724488</v>
      </c>
      <c r="BF192" s="87">
        <f t="shared" ref="BF192:BF255" si="145">IF((IMARGUMENT(BD192)*(180/PI()))&lt;0,(IMARGUMENT(BD192)*(180/PI()))+180,(IMARGUMENT(BD192)*(180/PI()))-180)</f>
        <v>70.905131818556882</v>
      </c>
      <c r="BH192" s="87">
        <f t="shared" si="101"/>
        <v>5.3934193262724488</v>
      </c>
      <c r="BI192" s="107">
        <f t="shared" si="102"/>
        <v>-70.905131818556882</v>
      </c>
      <c r="BJ192" s="91"/>
      <c r="BK192" s="91"/>
      <c r="BL192" s="91"/>
      <c r="BM192" s="91"/>
      <c r="BN192" s="42"/>
      <c r="BO192" s="42"/>
      <c r="BP192" s="42"/>
    </row>
    <row r="193" spans="1:68" s="87" customFormat="1">
      <c r="A193" s="87">
        <v>129</v>
      </c>
      <c r="B193" s="87">
        <f t="shared" si="103"/>
        <v>38018.939632056165</v>
      </c>
      <c r="C193" s="87" t="str">
        <f t="shared" si="104"/>
        <v>238880.042890683j</v>
      </c>
      <c r="D193" s="87">
        <f t="shared" si="105"/>
        <v>0.97144810329390752</v>
      </c>
      <c r="E193" s="87" t="str">
        <f t="shared" si="106"/>
        <v>-0.265422269878537j</v>
      </c>
      <c r="F193" s="87" t="str">
        <f t="shared" si="107"/>
        <v>0.971448103293908-0.265422269878537j</v>
      </c>
      <c r="G193" s="87">
        <f t="shared" si="108"/>
        <v>6.1066480732935198E-2</v>
      </c>
      <c r="H193" s="87">
        <f t="shared" si="109"/>
        <v>-15.28156881388286</v>
      </c>
      <c r="J193" s="87">
        <f t="shared" si="110"/>
        <v>14.187192118226601</v>
      </c>
      <c r="K193" s="87" t="str">
        <f t="shared" si="111"/>
        <v>1+11.9619181477509j</v>
      </c>
      <c r="L193" s="87">
        <f t="shared" si="112"/>
        <v>-6.9389626866350982</v>
      </c>
      <c r="M193" s="87" t="str">
        <f t="shared" si="113"/>
        <v>0.858379543283787j</v>
      </c>
      <c r="N193" s="87" t="str">
        <f t="shared" si="114"/>
        <v>-6.9389626866351+0.858379543283787j</v>
      </c>
      <c r="O193" s="87" t="str">
        <f t="shared" si="115"/>
        <v>0.0680951986825009-1.7154533263499j</v>
      </c>
      <c r="P193" s="87" t="str">
        <f t="shared" si="116"/>
        <v>0.966079666037451-24.3374659107769j</v>
      </c>
      <c r="R193" s="87">
        <f t="shared" si="117"/>
        <v>23.645320197044338</v>
      </c>
      <c r="S193" s="87" t="str">
        <f t="shared" si="118"/>
        <v>1+0.0179160032168012j</v>
      </c>
      <c r="T193" s="87" t="str">
        <f t="shared" si="119"/>
        <v>-6.9389626866351+0.858379543283787j</v>
      </c>
      <c r="U193" s="87" t="str">
        <f t="shared" si="120"/>
        <v>-0.141627077706167-0.0201018215249229j</v>
      </c>
      <c r="V193" s="87" t="str">
        <f t="shared" si="121"/>
        <v>-3.348817600934-0.47531400650064j</v>
      </c>
      <c r="X193" s="87" t="str">
        <f t="shared" si="122"/>
        <v>-0.419482564614823-1.81576448517626j</v>
      </c>
      <c r="Y193" s="87">
        <f t="shared" si="123"/>
        <v>5.4070056760054772</v>
      </c>
      <c r="Z193" s="87">
        <f t="shared" si="124"/>
        <v>76.991603020013528</v>
      </c>
      <c r="AB193" s="87" t="str">
        <f t="shared" si="125"/>
        <v>-1.27215846054852-0.180563651665697j</v>
      </c>
      <c r="AC193" s="87">
        <f t="shared" si="126"/>
        <v>2.1774454299633041</v>
      </c>
      <c r="AD193" s="87">
        <f t="shared" si="127"/>
        <v>8.0783104481334362</v>
      </c>
      <c r="AF193" s="87" t="str">
        <f t="shared" si="128"/>
        <v>-0.113001917999426-0.664490844913053j</v>
      </c>
      <c r="AG193" s="87">
        <f t="shared" si="129"/>
        <v>-3.426405184161224</v>
      </c>
      <c r="AH193" s="87">
        <f t="shared" si="130"/>
        <v>80.348730440943413</v>
      </c>
      <c r="AJ193" s="87" t="str">
        <f t="shared" si="131"/>
        <v>157497.770562697-592.563418448462j</v>
      </c>
      <c r="AK193" s="87" t="str">
        <f t="shared" si="132"/>
        <v>30000-0.000214992038601615j</v>
      </c>
      <c r="AL193" s="87" t="str">
        <f t="shared" ref="AL193:AL256" si="146">IMDIV(IMSUM(1,IMPRODUCT(C193,10000,0.000000000045)),IMPRODUCT(C193,0.000000000045))</f>
        <v>10000-93026.7005703431j</v>
      </c>
      <c r="AM193" s="87" t="str">
        <f t="shared" ref="AM193:AM256" si="147">IMDIV(AL193,IMSUM(1,IMPRODUCT(C193,AL193,0.0000000001)))</f>
        <v>957.874616525515-28941.3675620138j</v>
      </c>
      <c r="AN193" s="87" t="str">
        <f t="shared" ref="AN193:AN256" si="148">IMSUM(10000,AM193)</f>
        <v>10957.8746165255-28941.3675620138j</v>
      </c>
      <c r="AO193" s="87" t="str">
        <f t="shared" ref="AO193:AO256" si="149">IMDIV(IMPRODUCT(AN193,AK193),IMSUM(AN193,AK193))</f>
        <v>15343.9819932449-10356.1331528388j</v>
      </c>
      <c r="AP193" s="87" t="str">
        <f t="shared" ref="AP193:AP256" si="150">IMDIV(AK193,IMSUM(AJ193,AK193))</f>
        <v>0.160000304399169+0.000505660128383317j</v>
      </c>
      <c r="AQ193" s="87" t="str">
        <f t="shared" si="133"/>
        <v>1+32.6787898674454j</v>
      </c>
      <c r="AR193" s="87">
        <f t="shared" si="134"/>
        <v>-6.8063107251509752E-7</v>
      </c>
      <c r="AS193" s="87" t="str">
        <f t="shared" si="135"/>
        <v>0.00181878009296022j</v>
      </c>
      <c r="AT193" s="87" t="str">
        <f t="shared" si="136"/>
        <v>-6.80631072515098E-07+0.00181878009296022j</v>
      </c>
      <c r="AU193" s="87" t="str">
        <f t="shared" si="137"/>
        <v>5.39016418646406-0.166962852962074j</v>
      </c>
      <c r="AW193" s="87" t="str">
        <f t="shared" ref="AW193:AW256" si="151">IMDIV(IMPRODUCT(AP193,AU193),IMPRODUCT(IMSUM(1,IMPRODUCT(C193,1/1500000)),IMSUM(1,IMPRODUCT(C193,1/35000000))))</f>
        <v>0.836339977305258-0.163063848652588j</v>
      </c>
      <c r="AX193" s="87">
        <f t="shared" si="138"/>
        <v>-1.3903085247365028</v>
      </c>
      <c r="AY193" s="87">
        <f t="shared" si="139"/>
        <v>168.96727246022385</v>
      </c>
      <c r="AZ193" s="87" t="str">
        <f t="shared" si="140"/>
        <v>-1.09340038199121+0.0564304543367492j</v>
      </c>
      <c r="BA193" s="87">
        <f t="shared" si="141"/>
        <v>0.78713690522676083</v>
      </c>
      <c r="BB193" s="87">
        <f t="shared" si="142"/>
        <v>-2.9544170916427106</v>
      </c>
      <c r="BD193" s="87" t="str">
        <f t="shared" si="143"/>
        <v>-0.202862456101022-0.537313730500021j</v>
      </c>
      <c r="BE193" s="87">
        <f t="shared" si="144"/>
        <v>-4.8167137088977743</v>
      </c>
      <c r="BF193" s="87">
        <f t="shared" si="145"/>
        <v>69.316002901167266</v>
      </c>
      <c r="BH193" s="87">
        <f t="shared" ref="BH193:BH256" si="152">1-BE193</f>
        <v>5.8167137088977743</v>
      </c>
      <c r="BI193" s="107">
        <f t="shared" ref="BI193:BI256" si="153">+-1*BF193</f>
        <v>-69.316002901167266</v>
      </c>
      <c r="BJ193" s="91"/>
      <c r="BK193" s="91"/>
      <c r="BL193" s="91"/>
      <c r="BM193" s="91"/>
      <c r="BN193" s="42"/>
      <c r="BO193" s="42"/>
      <c r="BP193" s="42"/>
    </row>
    <row r="194" spans="1:68" s="87" customFormat="1">
      <c r="A194" s="87">
        <v>130</v>
      </c>
      <c r="B194" s="87">
        <f t="shared" si="103"/>
        <v>39810.717055349764</v>
      </c>
      <c r="C194" s="87" t="str">
        <f t="shared" si="104"/>
        <v>250138.112470457j</v>
      </c>
      <c r="D194" s="87">
        <f t="shared" si="105"/>
        <v>0.96869346780323728</v>
      </c>
      <c r="E194" s="87" t="str">
        <f t="shared" si="106"/>
        <v>-0.277931236078286j</v>
      </c>
      <c r="F194" s="87" t="str">
        <f t="shared" si="107"/>
        <v>0.968693467803237-0.277931236078286j</v>
      </c>
      <c r="G194" s="87">
        <f t="shared" si="108"/>
        <v>6.7281685507275438E-2</v>
      </c>
      <c r="H194" s="87">
        <f t="shared" si="109"/>
        <v>-16.008900174869929</v>
      </c>
      <c r="J194" s="87">
        <f t="shared" si="110"/>
        <v>14.187192118226601</v>
      </c>
      <c r="K194" s="87" t="str">
        <f t="shared" si="111"/>
        <v>1+12.5256659819581j</v>
      </c>
      <c r="L194" s="87">
        <f t="shared" si="112"/>
        <v>-7.7048994858896798</v>
      </c>
      <c r="M194" s="87" t="str">
        <f t="shared" si="113"/>
        <v>0.898833724835344j</v>
      </c>
      <c r="N194" s="87" t="str">
        <f t="shared" si="114"/>
        <v>-7.70489948588968+0.898833724835344j</v>
      </c>
      <c r="O194" s="87" t="str">
        <f t="shared" si="115"/>
        <v>0.0590558754355996-1.61878614929481j</v>
      </c>
      <c r="P194" s="87" t="str">
        <f t="shared" si="116"/>
        <v>0.837837050514911-22.9660300983697j</v>
      </c>
      <c r="R194" s="87">
        <f t="shared" si="117"/>
        <v>23.645320197044338</v>
      </c>
      <c r="S194" s="87" t="str">
        <f t="shared" si="118"/>
        <v>1+0.0187603584352843j</v>
      </c>
      <c r="T194" s="87" t="str">
        <f t="shared" si="119"/>
        <v>-7.70489948588968+0.898833724835344j</v>
      </c>
      <c r="U194" s="87" t="str">
        <f t="shared" si="120"/>
        <v>-0.127764757091511-0.0173395683096447j</v>
      </c>
      <c r="V194" s="87" t="str">
        <f t="shared" si="121"/>
        <v>-3.02103859132637-0.409999644760072j</v>
      </c>
      <c r="X194" s="87" t="str">
        <f t="shared" si="122"/>
        <v>-0.423293600468208-1.7079461478156j</v>
      </c>
      <c r="Y194" s="87">
        <f t="shared" si="123"/>
        <v>4.9083707382684469</v>
      </c>
      <c r="Z194" s="87">
        <f t="shared" si="124"/>
        <v>76.080413790157138</v>
      </c>
      <c r="AB194" s="87" t="str">
        <f t="shared" si="125"/>
        <v>-1.14764082777382-0.155751844101017j</v>
      </c>
      <c r="AC194" s="87">
        <f t="shared" si="126"/>
        <v>1.2753826277734608</v>
      </c>
      <c r="AD194" s="87">
        <f t="shared" si="127"/>
        <v>7.7286658651190976</v>
      </c>
      <c r="AF194" s="87" t="str">
        <f t="shared" si="128"/>
        <v>-0.121808063345512-0.63081224165401j</v>
      </c>
      <c r="AG194" s="87">
        <f t="shared" si="129"/>
        <v>-3.8430104047969822</v>
      </c>
      <c r="AH194" s="87">
        <f t="shared" si="130"/>
        <v>79.07085837573527</v>
      </c>
      <c r="AJ194" s="87" t="str">
        <f t="shared" si="131"/>
        <v>157497.555473946-620.489224608181j</v>
      </c>
      <c r="AK194" s="87" t="str">
        <f t="shared" si="132"/>
        <v>30000-0.000225124301223411j</v>
      </c>
      <c r="AL194" s="87" t="str">
        <f t="shared" si="146"/>
        <v>10000-88839.8093467134j</v>
      </c>
      <c r="AM194" s="87" t="str">
        <f t="shared" si="147"/>
        <v>957.369749185662-27645.2950371862j</v>
      </c>
      <c r="AN194" s="87" t="str">
        <f t="shared" si="148"/>
        <v>10957.3697491857-27645.2950371862j</v>
      </c>
      <c r="AO194" s="87" t="str">
        <f t="shared" si="149"/>
        <v>14903.7149323257-10189.649782899j</v>
      </c>
      <c r="AP194" s="87" t="str">
        <f t="shared" si="150"/>
        <v>0.16000033376704+0.000529491137529087j</v>
      </c>
      <c r="AQ194" s="87" t="str">
        <f t="shared" si="133"/>
        <v>1+34.2188937859585j</v>
      </c>
      <c r="AR194" s="87">
        <f t="shared" si="134"/>
        <v>-7.5594495024467154E-7</v>
      </c>
      <c r="AS194" s="87" t="str">
        <f t="shared" si="135"/>
        <v>0.00190449655796532j</v>
      </c>
      <c r="AT194" s="87" t="str">
        <f t="shared" si="136"/>
        <v>-7.55944950244672E-07+0.00190449655796532j</v>
      </c>
      <c r="AU194" s="87" t="str">
        <f t="shared" si="137"/>
        <v>5.39016329412219-0.159661441997063j</v>
      </c>
      <c r="AW194" s="87" t="str">
        <f t="shared" si="151"/>
        <v>0.83429404753624-0.167980398906342j</v>
      </c>
      <c r="AX194" s="87">
        <f t="shared" si="138"/>
        <v>-1.4010311783176945</v>
      </c>
      <c r="AY194" s="87">
        <f t="shared" si="139"/>
        <v>168.61602324189644</v>
      </c>
      <c r="AZ194" s="87" t="str">
        <f t="shared" si="140"/>
        <v>-0.983633168223745+0.0628383276243796j</v>
      </c>
      <c r="BA194" s="87">
        <f t="shared" si="141"/>
        <v>-0.12564855054426466</v>
      </c>
      <c r="BB194" s="87">
        <f t="shared" si="142"/>
        <v>-3.6553108929844598</v>
      </c>
      <c r="BD194" s="87" t="str">
        <f t="shared" si="143"/>
        <v>-0.207587834179121-0.505821531254143j</v>
      </c>
      <c r="BE194" s="87">
        <f t="shared" si="144"/>
        <v>-5.2440415831147105</v>
      </c>
      <c r="BF194" s="87">
        <f t="shared" si="145"/>
        <v>67.686881617631769</v>
      </c>
      <c r="BH194" s="87">
        <f t="shared" si="152"/>
        <v>6.2440415831147105</v>
      </c>
      <c r="BI194" s="107">
        <f t="shared" si="153"/>
        <v>-67.686881617631769</v>
      </c>
      <c r="BJ194" s="91"/>
      <c r="BK194" s="91"/>
      <c r="BL194" s="91"/>
      <c r="BM194" s="91"/>
      <c r="BN194" s="42"/>
      <c r="BO194" s="42"/>
      <c r="BP194" s="42"/>
    </row>
    <row r="195" spans="1:68" s="87" customFormat="1">
      <c r="A195" s="87">
        <v>131</v>
      </c>
      <c r="B195" s="87">
        <f t="shared" si="103"/>
        <v>41686.938347033574</v>
      </c>
      <c r="C195" s="87" t="str">
        <f t="shared" si="104"/>
        <v>261926.758523383j</v>
      </c>
      <c r="D195" s="87">
        <f t="shared" si="105"/>
        <v>0.96567307004939484</v>
      </c>
      <c r="E195" s="87" t="str">
        <f t="shared" si="106"/>
        <v>-0.291029731692648j</v>
      </c>
      <c r="F195" s="87" t="str">
        <f t="shared" si="107"/>
        <v>0.965673070049395-0.291029731692648j</v>
      </c>
      <c r="G195" s="87">
        <f t="shared" si="108"/>
        <v>7.4160785953641464E-2</v>
      </c>
      <c r="H195" s="87">
        <f t="shared" si="109"/>
        <v>-16.771494194830716</v>
      </c>
      <c r="J195" s="87">
        <f t="shared" si="110"/>
        <v>14.187192118226601</v>
      </c>
      <c r="K195" s="87" t="str">
        <f t="shared" si="111"/>
        <v>1+13.1159824330584j</v>
      </c>
      <c r="L195" s="87">
        <f t="shared" si="112"/>
        <v>-8.5447324858961107</v>
      </c>
      <c r="M195" s="87" t="str">
        <f t="shared" si="113"/>
        <v>0.941194453226018j</v>
      </c>
      <c r="N195" s="87" t="str">
        <f t="shared" si="114"/>
        <v>-8.54473248589611+0.941194453226018j</v>
      </c>
      <c r="O195" s="87" t="str">
        <f t="shared" si="115"/>
        <v>0.0514214456304309-1.52931468307796j</v>
      </c>
      <c r="P195" s="87" t="str">
        <f t="shared" si="116"/>
        <v>0.729525928155867-21.6966812180518j</v>
      </c>
      <c r="R195" s="87">
        <f t="shared" si="117"/>
        <v>23.645320197044338</v>
      </c>
      <c r="S195" s="87" t="str">
        <f t="shared" si="118"/>
        <v>1+0.0196445068892537j</v>
      </c>
      <c r="T195" s="87" t="str">
        <f t="shared" si="119"/>
        <v>-8.54473248589611+0.941194453226018j</v>
      </c>
      <c r="U195" s="87" t="str">
        <f t="shared" si="120"/>
        <v>-0.115378068989863-0.0150078081037774j</v>
      </c>
      <c r="V195" s="87" t="str">
        <f t="shared" si="121"/>
        <v>-2.72815138498198-0.354864428069613j</v>
      </c>
      <c r="X195" s="87" t="str">
        <f t="shared" si="122"/>
        <v>-0.426220667593981-1.60798453313946j</v>
      </c>
      <c r="Y195" s="87">
        <f t="shared" si="123"/>
        <v>4.4205284007873695</v>
      </c>
      <c r="Z195" s="87">
        <f t="shared" si="124"/>
        <v>75.154284911194239</v>
      </c>
      <c r="AB195" s="87" t="str">
        <f t="shared" si="125"/>
        <v>-1.03637799356227-0.134806919430476j</v>
      </c>
      <c r="AC195" s="87">
        <f t="shared" si="126"/>
        <v>0.38322948437452264</v>
      </c>
      <c r="AD195" s="87">
        <f t="shared" si="127"/>
        <v>7.4111406784607539</v>
      </c>
      <c r="AF195" s="87" t="str">
        <f t="shared" si="128"/>
        <v>-0.129641840799584-0.598259600680477j</v>
      </c>
      <c r="AG195" s="87">
        <f t="shared" si="129"/>
        <v>-4.2629132243005694</v>
      </c>
      <c r="AH195" s="87">
        <f t="shared" si="130"/>
        <v>77.773145931601093</v>
      </c>
      <c r="AJ195" s="87" t="str">
        <f t="shared" si="131"/>
        <v>157497.319634495-649.731007925755j</v>
      </c>
      <c r="AK195" s="87" t="str">
        <f t="shared" si="132"/>
        <v>30000-0.000235734082671045j</v>
      </c>
      <c r="AL195" s="87" t="str">
        <f t="shared" si="146"/>
        <v>10000-84841.3592696694j</v>
      </c>
      <c r="AM195" s="87" t="str">
        <f t="shared" si="147"/>
        <v>956.816784499085-26407.8543688553j</v>
      </c>
      <c r="AN195" s="87" t="str">
        <f t="shared" si="148"/>
        <v>10956.8167844991-26407.8543688553j</v>
      </c>
      <c r="AO195" s="87" t="str">
        <f t="shared" si="149"/>
        <v>14478.447654653-10007.8796465318j</v>
      </c>
      <c r="AP195" s="87" t="str">
        <f t="shared" si="150"/>
        <v>0.160000365968268+0.000554445264791849j</v>
      </c>
      <c r="AQ195" s="87" t="str">
        <f t="shared" si="133"/>
        <v>1+35.8315805659988j</v>
      </c>
      <c r="AR195" s="87">
        <f t="shared" si="134"/>
        <v>-8.3852497504215118E-7</v>
      </c>
      <c r="AS195" s="87" t="str">
        <f t="shared" si="135"/>
        <v>0.00199425271551016j</v>
      </c>
      <c r="AT195" s="87" t="str">
        <f t="shared" si="136"/>
        <v>-8.38524975042151E-07+0.00199425271551016j</v>
      </c>
      <c r="AU195" s="87" t="str">
        <f t="shared" si="137"/>
        <v>5.39016246262497-0.152698694341025j</v>
      </c>
      <c r="AW195" s="87" t="str">
        <f t="shared" si="151"/>
        <v>0.832061920634477-0.173189307310641j</v>
      </c>
      <c r="AX195" s="87">
        <f t="shared" si="138"/>
        <v>-1.4126941245482483</v>
      </c>
      <c r="AY195" s="87">
        <f t="shared" si="139"/>
        <v>168.24206789398497</v>
      </c>
      <c r="AZ195" s="87" t="str">
        <f t="shared" si="140"/>
        <v>-0.885677780823571+0.067321882520902j</v>
      </c>
      <c r="BA195" s="87">
        <f t="shared" si="141"/>
        <v>-1.0294646401737504</v>
      </c>
      <c r="BB195" s="87">
        <f t="shared" si="142"/>
        <v>-4.3467914275542512</v>
      </c>
      <c r="BD195" s="87" t="str">
        <f t="shared" si="143"/>
        <v>-0.211482204884083-0.475336451773656j</v>
      </c>
      <c r="BE195" s="87">
        <f t="shared" si="144"/>
        <v>-5.675607348848831</v>
      </c>
      <c r="BF195" s="87">
        <f t="shared" si="145"/>
        <v>66.015213825586088</v>
      </c>
      <c r="BH195" s="87">
        <f t="shared" si="152"/>
        <v>6.675607348848831</v>
      </c>
      <c r="BI195" s="107">
        <f t="shared" si="153"/>
        <v>-66.015213825586088</v>
      </c>
      <c r="BJ195" s="91"/>
      <c r="BK195" s="91"/>
      <c r="BL195" s="91"/>
      <c r="BM195" s="91"/>
      <c r="BN195" s="42"/>
      <c r="BO195" s="42"/>
      <c r="BP195" s="42"/>
    </row>
    <row r="196" spans="1:68" s="87" customFormat="1">
      <c r="A196" s="87">
        <v>132</v>
      </c>
      <c r="B196" s="87">
        <f t="shared" si="103"/>
        <v>43651.58322401662</v>
      </c>
      <c r="C196" s="87" t="str">
        <f t="shared" si="104"/>
        <v>274270.986348268j</v>
      </c>
      <c r="D196" s="87">
        <f t="shared" si="105"/>
        <v>0.96236126976862724</v>
      </c>
      <c r="E196" s="87" t="str">
        <f t="shared" si="106"/>
        <v>-0.304745540386964j</v>
      </c>
      <c r="F196" s="87" t="str">
        <f t="shared" si="107"/>
        <v>0.962361269768627-0.304745540386964j</v>
      </c>
      <c r="G196" s="87">
        <f t="shared" si="108"/>
        <v>8.178044452279018E-2</v>
      </c>
      <c r="H196" s="87">
        <f t="shared" si="109"/>
        <v>-17.571140003379007</v>
      </c>
      <c r="J196" s="87">
        <f t="shared" si="110"/>
        <v>14.187192118226601</v>
      </c>
      <c r="K196" s="87" t="str">
        <f t="shared" si="111"/>
        <v>1+13.7341196413895j</v>
      </c>
      <c r="L196" s="87">
        <f t="shared" si="112"/>
        <v>-9.4655910588045753</v>
      </c>
      <c r="M196" s="87" t="str">
        <f t="shared" si="113"/>
        <v>0.985551581240119j</v>
      </c>
      <c r="N196" s="87" t="str">
        <f t="shared" si="114"/>
        <v>-9.46559105880458+0.985551581240119j</v>
      </c>
      <c r="O196" s="87" t="str">
        <f t="shared" si="115"/>
        <v>0.0449392682213202-1.44627309477947j</v>
      </c>
      <c r="P196" s="87" t="str">
        <f t="shared" si="116"/>
        <v>0.637562031908385-20.5185542510585j</v>
      </c>
      <c r="R196" s="87">
        <f t="shared" si="117"/>
        <v>23.645320197044338</v>
      </c>
      <c r="S196" s="87" t="str">
        <f t="shared" si="118"/>
        <v>1+0.0205703239761201j</v>
      </c>
      <c r="T196" s="87" t="str">
        <f t="shared" si="119"/>
        <v>-9.46559105880458+0.985551581240119j</v>
      </c>
      <c r="U196" s="87" t="str">
        <f t="shared" si="120"/>
        <v>-0.104288956678623-0.0130316711730199j</v>
      </c>
      <c r="V196" s="87" t="str">
        <f t="shared" si="121"/>
        <v>-2.46594577368173-0.308138037588648j</v>
      </c>
      <c r="X196" s="87" t="str">
        <f t="shared" si="122"/>
        <v>-0.428460238659469-1.51501515966645j</v>
      </c>
      <c r="Y196" s="87">
        <f t="shared" si="123"/>
        <v>3.9425009166020879</v>
      </c>
      <c r="Z196" s="87">
        <f t="shared" si="124"/>
        <v>74.208608391276343</v>
      </c>
      <c r="AB196" s="87" t="str">
        <f t="shared" si="125"/>
        <v>-0.936770571908166-0.117056363841938j</v>
      </c>
      <c r="AC196" s="87">
        <f t="shared" si="126"/>
        <v>-0.50004698160768069</v>
      </c>
      <c r="AD196" s="87">
        <f t="shared" si="127"/>
        <v>7.1226100022455228</v>
      </c>
      <c r="AF196" s="87" t="str">
        <f t="shared" si="128"/>
        <v>-0.136563390346439-0.56680565795181j</v>
      </c>
      <c r="AG196" s="87">
        <f t="shared" si="129"/>
        <v>-4.686255644631153</v>
      </c>
      <c r="AH196" s="87">
        <f t="shared" si="130"/>
        <v>76.453616981647983</v>
      </c>
      <c r="AJ196" s="87" t="str">
        <f t="shared" si="131"/>
        <v>157497.061042492-680.350769895471j</v>
      </c>
      <c r="AK196" s="87" t="str">
        <f t="shared" si="132"/>
        <v>30000-0.000246843887713441j</v>
      </c>
      <c r="AL196" s="87" t="str">
        <f t="shared" si="146"/>
        <v>10000-81022.869090515j</v>
      </c>
      <c r="AM196" s="87" t="str">
        <f t="shared" si="147"/>
        <v>956.211204497249-25226.4196802266j</v>
      </c>
      <c r="AN196" s="87" t="str">
        <f t="shared" si="148"/>
        <v>10956.2112044972-25226.4196802266j</v>
      </c>
      <c r="AO196" s="87" t="str">
        <f t="shared" si="149"/>
        <v>14069.1272625382-9812.40375904105j</v>
      </c>
      <c r="AP196" s="87" t="str">
        <f t="shared" si="150"/>
        <v>0.160000401276209+0.000580575440691398j</v>
      </c>
      <c r="AQ196" s="87" t="str">
        <f t="shared" si="133"/>
        <v>1+37.5202709324431j</v>
      </c>
      <c r="AR196" s="87">
        <f t="shared" si="134"/>
        <v>-9.2907217166954056E-7</v>
      </c>
      <c r="AS196" s="87" t="str">
        <f t="shared" si="135"/>
        <v>0.00208823895043872j</v>
      </c>
      <c r="AT196" s="87" t="str">
        <f t="shared" si="136"/>
        <v>-9.29072171669541E-07+0.00208823895043872j</v>
      </c>
      <c r="AU196" s="87" t="str">
        <f t="shared" si="137"/>
        <v>5.3901616849137-0.146059841072389j</v>
      </c>
      <c r="AW196" s="87" t="str">
        <f t="shared" si="151"/>
        <v>0.829627784389351-0.178692721598002j</v>
      </c>
      <c r="AX196" s="87">
        <f t="shared" si="138"/>
        <v>-1.4253883310414834</v>
      </c>
      <c r="AY196" s="87">
        <f t="shared" si="139"/>
        <v>167.84481671933912</v>
      </c>
      <c r="AZ196" s="87" t="str">
        <f t="shared" si="140"/>
        <v>-0.798088014288599+0.0702808712243263j</v>
      </c>
      <c r="BA196" s="87">
        <f t="shared" si="141"/>
        <v>-1.9254353126491632</v>
      </c>
      <c r="BB196" s="87">
        <f t="shared" si="142"/>
        <v>-5.0325732784153558</v>
      </c>
      <c r="BD196" s="87" t="str">
        <f t="shared" si="143"/>
        <v>-0.214580828598369-0.445834838294253j</v>
      </c>
      <c r="BE196" s="87">
        <f t="shared" si="144"/>
        <v>-6.1116439756726386</v>
      </c>
      <c r="BF196" s="87">
        <f t="shared" si="145"/>
        <v>64.298433700987133</v>
      </c>
      <c r="BH196" s="87">
        <f t="shared" si="152"/>
        <v>7.1116439756726386</v>
      </c>
      <c r="BI196" s="107">
        <f t="shared" si="153"/>
        <v>-64.298433700987133</v>
      </c>
      <c r="BJ196" s="91"/>
      <c r="BK196" s="91"/>
      <c r="BL196" s="91"/>
      <c r="BM196" s="91"/>
      <c r="BN196" s="42"/>
      <c r="BO196" s="42"/>
      <c r="BP196" s="42"/>
    </row>
    <row r="197" spans="1:68" s="87" customFormat="1">
      <c r="A197" s="87">
        <v>133</v>
      </c>
      <c r="B197" s="87">
        <f t="shared" si="103"/>
        <v>45708.818961487559</v>
      </c>
      <c r="C197" s="87" t="str">
        <f t="shared" si="104"/>
        <v>287196.97970735j</v>
      </c>
      <c r="D197" s="87">
        <f t="shared" si="105"/>
        <v>0.95872995297078434</v>
      </c>
      <c r="E197" s="87" t="str">
        <f t="shared" si="106"/>
        <v>-0.319107755230389j</v>
      </c>
      <c r="F197" s="87" t="str">
        <f t="shared" si="107"/>
        <v>0.958729952970784-0.319107755230389j</v>
      </c>
      <c r="G197" s="87">
        <f t="shared" si="108"/>
        <v>9.0227144234442586E-2</v>
      </c>
      <c r="H197" s="87">
        <f t="shared" si="109"/>
        <v>-18.409725119610854</v>
      </c>
      <c r="J197" s="87">
        <f t="shared" si="110"/>
        <v>14.187192118226601</v>
      </c>
      <c r="K197" s="87" t="str">
        <f t="shared" si="111"/>
        <v>1+14.3813887588456j</v>
      </c>
      <c r="L197" s="87">
        <f t="shared" si="112"/>
        <v>-10.475292405730292</v>
      </c>
      <c r="M197" s="87" t="str">
        <f t="shared" si="113"/>
        <v>1.03199919629323j</v>
      </c>
      <c r="N197" s="87" t="str">
        <f t="shared" si="114"/>
        <v>-10.4752924057303+1.03199919629323j</v>
      </c>
      <c r="O197" s="87" t="str">
        <f t="shared" si="115"/>
        <v>0.0394080901806066-1.36900423262714j</v>
      </c>
      <c r="P197" s="87" t="str">
        <f t="shared" si="116"/>
        <v>0.559090146404665-19.4223260589466j</v>
      </c>
      <c r="R197" s="87">
        <f t="shared" si="117"/>
        <v>23.645320197044338</v>
      </c>
      <c r="S197" s="87" t="str">
        <f t="shared" si="118"/>
        <v>1+0.0215397734780512j</v>
      </c>
      <c r="T197" s="87" t="str">
        <f t="shared" si="119"/>
        <v>-10.4752924057303+1.03199919629323j</v>
      </c>
      <c r="U197" s="87" t="str">
        <f t="shared" si="120"/>
        <v>-0.0943444746896211-0.0113508235309406j</v>
      </c>
      <c r="V197" s="87" t="str">
        <f t="shared" si="121"/>
        <v>-2.23080531285804-0.268393856889236j</v>
      </c>
      <c r="X197" s="87" t="str">
        <f t="shared" si="122"/>
        <v>-0.430164051621954-1.42829698911522j</v>
      </c>
      <c r="Y197" s="87">
        <f t="shared" si="123"/>
        <v>3.4734434200147639</v>
      </c>
      <c r="Z197" s="87">
        <f t="shared" si="124"/>
        <v>73.239133110340418</v>
      </c>
      <c r="AB197" s="87" t="str">
        <f t="shared" si="125"/>
        <v>-0.84744473744925-0.101958230184188j</v>
      </c>
      <c r="AC197" s="87">
        <f t="shared" si="126"/>
        <v>-1.3753583064231634</v>
      </c>
      <c r="AD197" s="87">
        <f t="shared" si="127"/>
        <v>6.8604258663121129</v>
      </c>
      <c r="AF197" s="87" t="str">
        <f t="shared" si="128"/>
        <v>-0.142627556074248-0.536422350958993j</v>
      </c>
      <c r="AG197" s="87">
        <f t="shared" si="129"/>
        <v>-5.1132020109188243</v>
      </c>
      <c r="AH197" s="87">
        <f t="shared" si="130"/>
        <v>75.110314084518848</v>
      </c>
      <c r="AJ197" s="87" t="str">
        <f t="shared" si="131"/>
        <v>157496.777502974-712.413431296791j</v>
      </c>
      <c r="AK197" s="87" t="str">
        <f t="shared" si="132"/>
        <v>30000-0.000258477281736615j</v>
      </c>
      <c r="AL197" s="87" t="str">
        <f t="shared" si="146"/>
        <v>9999.99999999992-77376.2392796271j</v>
      </c>
      <c r="AM197" s="87" t="str">
        <f t="shared" si="147"/>
        <v>955.54807967643-24098.4837316786j</v>
      </c>
      <c r="AN197" s="87" t="str">
        <f t="shared" si="148"/>
        <v>10955.5480796764-24098.4837316786j</v>
      </c>
      <c r="AO197" s="87" t="str">
        <f t="shared" si="149"/>
        <v>13676.5005760779-9604.84239749073j</v>
      </c>
      <c r="AP197" s="87" t="str">
        <f t="shared" si="150"/>
        <v>0.160000439990594+0.000607937090225909j</v>
      </c>
      <c r="AQ197" s="87" t="str">
        <f t="shared" si="133"/>
        <v>1+39.2885468239655j</v>
      </c>
      <c r="AR197" s="87">
        <f t="shared" si="134"/>
        <v>-1.0283551984933684E-6</v>
      </c>
      <c r="AS197" s="87" t="str">
        <f t="shared" si="135"/>
        <v>0.00218665462015623j</v>
      </c>
      <c r="AT197" s="87" t="str">
        <f t="shared" si="136"/>
        <v>-1.02835519849337E-06+0.00218665462015623j</v>
      </c>
      <c r="AU197" s="87" t="str">
        <f t="shared" si="137"/>
        <v>5.39016095438643-0.1397308002927j</v>
      </c>
      <c r="AW197" s="87" t="str">
        <f t="shared" si="151"/>
        <v>0.826974705014375-0.184492236084155j</v>
      </c>
      <c r="AX197" s="87">
        <f t="shared" si="138"/>
        <v>-1.4392119663328939</v>
      </c>
      <c r="AY197" s="87">
        <f t="shared" si="139"/>
        <v>167.42365912696778</v>
      </c>
      <c r="AZ197" s="87" t="str">
        <f t="shared" si="140"/>
        <v>-0.719625863641942+0.0720300972394049j</v>
      </c>
      <c r="BA197" s="87">
        <f t="shared" si="141"/>
        <v>-2.8145702727560558</v>
      </c>
      <c r="BB197" s="87">
        <f t="shared" si="142"/>
        <v>-5.7159150067200528</v>
      </c>
      <c r="BD197" s="87" t="str">
        <f t="shared" si="143"/>
        <v>-0.216915140125367-0.417294038700075j</v>
      </c>
      <c r="BE197" s="87">
        <f t="shared" si="144"/>
        <v>-6.5524139772517085</v>
      </c>
      <c r="BF197" s="87">
        <f t="shared" si="145"/>
        <v>62.533973211486597</v>
      </c>
      <c r="BH197" s="87">
        <f t="shared" si="152"/>
        <v>7.5524139772517085</v>
      </c>
      <c r="BI197" s="107">
        <f t="shared" si="153"/>
        <v>-62.533973211486597</v>
      </c>
      <c r="BJ197" s="91"/>
      <c r="BK197" s="91"/>
      <c r="BL197" s="91"/>
      <c r="BM197" s="91"/>
      <c r="BN197" s="42"/>
      <c r="BO197" s="42"/>
      <c r="BP197" s="42"/>
    </row>
    <row r="198" spans="1:68" s="87" customFormat="1">
      <c r="A198" s="87">
        <v>134</v>
      </c>
      <c r="B198" s="87">
        <f t="shared" si="103"/>
        <v>47863.009232263888</v>
      </c>
      <c r="C198" s="87" t="str">
        <f t="shared" si="104"/>
        <v>300732.156365561j</v>
      </c>
      <c r="D198" s="87">
        <f t="shared" si="105"/>
        <v>0.95474829327866129</v>
      </c>
      <c r="E198" s="87" t="str">
        <f t="shared" si="106"/>
        <v>-0.334146840406179j</v>
      </c>
      <c r="F198" s="87" t="str">
        <f t="shared" si="107"/>
        <v>0.954748293278661-0.334146840406179j</v>
      </c>
      <c r="G198" s="87">
        <f t="shared" si="108"/>
        <v>9.9598584969685253E-2</v>
      </c>
      <c r="H198" s="87">
        <f t="shared" si="109"/>
        <v>-19.28924095361894</v>
      </c>
      <c r="J198" s="87">
        <f t="shared" si="110"/>
        <v>14.187192118226601</v>
      </c>
      <c r="K198" s="87" t="str">
        <f t="shared" si="111"/>
        <v>1+15.0591627300055j</v>
      </c>
      <c r="L198" s="87">
        <f t="shared" si="112"/>
        <v>-11.58240791725073</v>
      </c>
      <c r="M198" s="87" t="str">
        <f t="shared" si="113"/>
        <v>1.08063582000423j</v>
      </c>
      <c r="N198" s="87" t="str">
        <f t="shared" si="114"/>
        <v>-11.5824079172507+1.08063582000423j</v>
      </c>
      <c r="O198" s="87" t="str">
        <f t="shared" si="115"/>
        <v>0.0346664542386169-1.29694110457201j</v>
      </c>
      <c r="P198" s="87" t="str">
        <f t="shared" si="116"/>
        <v>0.491819646340969-18.3999526165881j</v>
      </c>
      <c r="R198" s="87">
        <f t="shared" si="117"/>
        <v>23.645320197044338</v>
      </c>
      <c r="S198" s="87" t="str">
        <f t="shared" si="118"/>
        <v>1+0.0225549117274171j</v>
      </c>
      <c r="T198" s="87" t="str">
        <f t="shared" si="119"/>
        <v>-11.5824079172507+1.08063582000423j</v>
      </c>
      <c r="U198" s="87" t="str">
        <f t="shared" si="120"/>
        <v>-0.0854126426541995-0.00991632082735601j</v>
      </c>
      <c r="V198" s="87" t="str">
        <f t="shared" si="121"/>
        <v>-2.01960928443427-0.234474581139452j</v>
      </c>
      <c r="X198" s="87" t="str">
        <f t="shared" si="122"/>
        <v>-0.431449853519194-1.34719105207196j</v>
      </c>
      <c r="Y198" s="87">
        <f t="shared" si="123"/>
        <v>3.0126286855878948</v>
      </c>
      <c r="Z198" s="87">
        <f t="shared" si="124"/>
        <v>72.241876136999835</v>
      </c>
      <c r="AB198" s="87" t="str">
        <f t="shared" si="125"/>
        <v>-0.767214982828213-0.0890728781695754j</v>
      </c>
      <c r="AC198" s="87">
        <f t="shared" si="126"/>
        <v>-2.2435110607342774</v>
      </c>
      <c r="AD198" s="87">
        <f t="shared" si="127"/>
        <v>6.622333763231012</v>
      </c>
      <c r="AF198" s="87" t="str">
        <f t="shared" si="128"/>
        <v>-0.147884201343699-0.507081306279019j</v>
      </c>
      <c r="AG198" s="87">
        <f t="shared" si="129"/>
        <v>-5.5439394718891162</v>
      </c>
      <c r="AH198" s="87">
        <f t="shared" si="130"/>
        <v>73.741306581190557</v>
      </c>
      <c r="AJ198" s="87" t="str">
        <f t="shared" si="131"/>
        <v>157496.466609249-745.986969367857j</v>
      </c>
      <c r="AK198" s="87" t="str">
        <f t="shared" si="132"/>
        <v>30000-0.000270658940729005j</v>
      </c>
      <c r="AL198" s="87" t="str">
        <f t="shared" si="146"/>
        <v>10000-73893.7348462651j</v>
      </c>
      <c r="AM198" s="87" t="str">
        <f t="shared" si="147"/>
        <v>954.822034092679-23021.6525799899j</v>
      </c>
      <c r="AN198" s="87" t="str">
        <f t="shared" si="148"/>
        <v>10954.8220340927-23021.6525799899j</v>
      </c>
      <c r="AO198" s="87" t="str">
        <f t="shared" si="149"/>
        <v>13301.1184391875-9386.82748547552j</v>
      </c>
      <c r="AP198" s="87" t="str">
        <f t="shared" si="150"/>
        <v>0.160000482440069+0.000636588250424098j</v>
      </c>
      <c r="AQ198" s="87" t="str">
        <f t="shared" si="133"/>
        <v>1+41.1401589908087j</v>
      </c>
      <c r="AR198" s="87">
        <f t="shared" si="134"/>
        <v>-1.1372168726527931E-6</v>
      </c>
      <c r="AS198" s="87" t="str">
        <f t="shared" si="135"/>
        <v>0.00228970847749298j</v>
      </c>
      <c r="AT198" s="87" t="str">
        <f t="shared" si="136"/>
        <v>-1.13721687265279E-06+0.00228970847749298j</v>
      </c>
      <c r="AU198" s="87" t="str">
        <f t="shared" si="137"/>
        <v>5.39016026484165-0.13369814725701j</v>
      </c>
      <c r="AW198" s="87" t="str">
        <f t="shared" si="151"/>
        <v>0.824084591091382-0.190588754082031j</v>
      </c>
      <c r="AX198" s="87">
        <f t="shared" si="138"/>
        <v>-1.4542709399268297</v>
      </c>
      <c r="AY198" s="87">
        <f t="shared" si="139"/>
        <v>166.97796605539472</v>
      </c>
      <c r="AZ198" s="87" t="str">
        <f t="shared" si="140"/>
        <v>-0.649226334276009+0.0728189613065889j</v>
      </c>
      <c r="BA198" s="87">
        <f t="shared" si="141"/>
        <v>-3.6977820006611148</v>
      </c>
      <c r="BB198" s="87">
        <f t="shared" si="142"/>
        <v>-6.3997001813742429</v>
      </c>
      <c r="BD198" s="87" t="str">
        <f t="shared" si="143"/>
        <v>-0.218513085975205-0.389692825252517j</v>
      </c>
      <c r="BE198" s="87">
        <f t="shared" si="144"/>
        <v>-6.9982104118159514</v>
      </c>
      <c r="BF198" s="87">
        <f t="shared" si="145"/>
        <v>60.719272636585231</v>
      </c>
      <c r="BH198" s="87">
        <f t="shared" si="152"/>
        <v>7.9982104118159514</v>
      </c>
      <c r="BI198" s="107">
        <f t="shared" si="153"/>
        <v>-60.719272636585231</v>
      </c>
      <c r="BJ198" s="91"/>
      <c r="BK198" s="91"/>
      <c r="BL198" s="91"/>
      <c r="BM198" s="91"/>
      <c r="BN198" s="42"/>
      <c r="BO198" s="42"/>
      <c r="BP198" s="42"/>
    </row>
    <row r="199" spans="1:68" s="87" customFormat="1">
      <c r="A199" s="87">
        <v>135</v>
      </c>
      <c r="B199" s="87">
        <f t="shared" si="103"/>
        <v>50118.723362727265</v>
      </c>
      <c r="C199" s="87" t="str">
        <f t="shared" si="104"/>
        <v>314905.226247286j</v>
      </c>
      <c r="D199" s="87">
        <f t="shared" si="105"/>
        <v>0.950382490241786</v>
      </c>
      <c r="E199" s="87" t="str">
        <f t="shared" si="106"/>
        <v>-0.349894695830318j</v>
      </c>
      <c r="F199" s="87" t="str">
        <f t="shared" si="107"/>
        <v>0.950382490241786-0.349894695830318j</v>
      </c>
      <c r="G199" s="87">
        <f t="shared" si="108"/>
        <v>0.11000529153667229</v>
      </c>
      <c r="H199" s="87">
        <f t="shared" si="109"/>
        <v>-20.211788388231433</v>
      </c>
      <c r="J199" s="87">
        <f t="shared" si="110"/>
        <v>14.187192118226601</v>
      </c>
      <c r="K199" s="87" t="str">
        <f t="shared" si="111"/>
        <v>1+15.7688792043328j</v>
      </c>
      <c r="L199" s="87">
        <f t="shared" si="112"/>
        <v>-12.796335936244821</v>
      </c>
      <c r="M199" s="87" t="str">
        <f t="shared" si="113"/>
        <v>1.13156461717282j</v>
      </c>
      <c r="N199" s="87" t="str">
        <f t="shared" si="114"/>
        <v>-12.7963359362448+1.13156461717282j</v>
      </c>
      <c r="O199" s="87" t="str">
        <f t="shared" si="115"/>
        <v>0.0305839679013838-1.22959193528489j</v>
      </c>
      <c r="P199" s="87" t="str">
        <f t="shared" si="116"/>
        <v>0.433900628354608-17.4444570129088j</v>
      </c>
      <c r="R199" s="87">
        <f t="shared" si="117"/>
        <v>23.645320197044338</v>
      </c>
      <c r="S199" s="87" t="str">
        <f t="shared" si="118"/>
        <v>1+0.0236178919685464j</v>
      </c>
      <c r="T199" s="87" t="str">
        <f t="shared" si="119"/>
        <v>-12.7963359362448+1.13156461717282j</v>
      </c>
      <c r="U199" s="87" t="str">
        <f t="shared" si="120"/>
        <v>-0.0773790816222265-0.00868821539192972j</v>
      </c>
      <c r="V199" s="87" t="str">
        <f t="shared" si="121"/>
        <v>-1.82965316151077-0.205435634883067j</v>
      </c>
      <c r="X199" s="87" t="str">
        <f t="shared" si="122"/>
        <v>-0.432409388905503-1.27114326311294j</v>
      </c>
      <c r="Y199" s="87">
        <f t="shared" si="123"/>
        <v>2.5594347214068289</v>
      </c>
      <c r="Z199" s="87">
        <f t="shared" si="124"/>
        <v>71.213051014205462</v>
      </c>
      <c r="AB199" s="87" t="str">
        <f t="shared" si="125"/>
        <v>-0.695053904588918-0.0780414797574401j</v>
      </c>
      <c r="AC199" s="87">
        <f t="shared" si="126"/>
        <v>-3.1052207173276876</v>
      </c>
      <c r="AD199" s="87">
        <f t="shared" si="127"/>
        <v>6.4064062461201559</v>
      </c>
      <c r="AF199" s="87" t="str">
        <f t="shared" si="128"/>
        <v>-0.152378539504033-0.47875427884014j</v>
      </c>
      <c r="AG199" s="87">
        <f t="shared" si="129"/>
        <v>-5.97867843575888</v>
      </c>
      <c r="AH199" s="87">
        <f t="shared" si="130"/>
        <v>72.344699474305443</v>
      </c>
      <c r="AJ199" s="87" t="str">
        <f t="shared" si="131"/>
        <v>157496.125722468-781.142561383351j</v>
      </c>
      <c r="AK199" s="87" t="str">
        <f t="shared" si="132"/>
        <v>30000-0.000283414703622557j</v>
      </c>
      <c r="AL199" s="87" t="str">
        <f t="shared" si="146"/>
        <v>10000-70567.9689316166j</v>
      </c>
      <c r="AM199" s="87" t="str">
        <f t="shared" si="147"/>
        <v>954.02720802033-21993.6404747807j</v>
      </c>
      <c r="AN199" s="87" t="str">
        <f t="shared" si="148"/>
        <v>10954.0272080203-21993.6404747807j</v>
      </c>
      <c r="AO199" s="87" t="str">
        <f t="shared" si="149"/>
        <v>12943.3439537754-9159.97731586679j</v>
      </c>
      <c r="AP199" s="87" t="str">
        <f t="shared" si="150"/>
        <v>0.160000528984987+0.000666589693436242j</v>
      </c>
      <c r="AQ199" s="87" t="str">
        <f t="shared" si="133"/>
        <v>1+43.0790349506287j</v>
      </c>
      <c r="AR199" s="87">
        <f t="shared" si="134"/>
        <v>-1.2565813247642486E-6</v>
      </c>
      <c r="AS199" s="87" t="str">
        <f t="shared" si="135"/>
        <v>0.00239761911349706j</v>
      </c>
      <c r="AT199" s="87" t="str">
        <f t="shared" si="136"/>
        <v>-1.25658132476425E-06+0.00239761911349706j</v>
      </c>
      <c r="AU199" s="87" t="str">
        <f t="shared" si="137"/>
        <v>5.39015961042579-0.127949085898183j</v>
      </c>
      <c r="AW199" s="87" t="str">
        <f t="shared" si="151"/>
        <v>0.820938165878456-0.196982335653804j</v>
      </c>
      <c r="AX199" s="87">
        <f t="shared" si="138"/>
        <v>-1.4706794551677518</v>
      </c>
      <c r="AY199" s="87">
        <f t="shared" si="139"/>
        <v>166.50709280086687</v>
      </c>
      <c r="AZ199" s="87" t="str">
        <f t="shared" si="140"/>
        <v>-0.585969070580386+0.0728461122767078j</v>
      </c>
      <c r="BA199" s="87">
        <f t="shared" si="141"/>
        <v>-4.5759001724954285</v>
      </c>
      <c r="BB199" s="87">
        <f t="shared" si="142"/>
        <v>-7.086500953013001</v>
      </c>
      <c r="BD199" s="87" t="str">
        <f t="shared" si="143"/>
        <v>-0.219399494789862-0.363011778962468j</v>
      </c>
      <c r="BE199" s="87">
        <f t="shared" si="144"/>
        <v>-7.4493578909266267</v>
      </c>
      <c r="BF199" s="87">
        <f t="shared" si="145"/>
        <v>58.851792275172343</v>
      </c>
      <c r="BH199" s="87">
        <f t="shared" si="152"/>
        <v>8.4493578909266276</v>
      </c>
      <c r="BI199" s="107">
        <f t="shared" si="153"/>
        <v>-58.851792275172343</v>
      </c>
      <c r="BJ199" s="91"/>
      <c r="BK199" s="91"/>
      <c r="BL199" s="91"/>
      <c r="BM199" s="91"/>
      <c r="BN199" s="42"/>
      <c r="BO199" s="42"/>
      <c r="BP199" s="42"/>
    </row>
    <row r="200" spans="1:68" s="87" customFormat="1">
      <c r="A200" s="87">
        <v>136</v>
      </c>
      <c r="B200" s="87">
        <f t="shared" si="103"/>
        <v>52480.746024977292</v>
      </c>
      <c r="C200" s="87" t="str">
        <f t="shared" si="104"/>
        <v>329746.252333961j</v>
      </c>
      <c r="D200" s="87">
        <f t="shared" si="105"/>
        <v>0.94559548240319669</v>
      </c>
      <c r="E200" s="87" t="str">
        <f t="shared" si="106"/>
        <v>-0.366384724815512j</v>
      </c>
      <c r="F200" s="87" t="str">
        <f t="shared" si="107"/>
        <v>0.945595482403197-0.366384724815512j</v>
      </c>
      <c r="G200" s="87">
        <f t="shared" si="108"/>
        <v>0.12157246498053889</v>
      </c>
      <c r="H200" s="87">
        <f t="shared" si="109"/>
        <v>-21.17958334290471</v>
      </c>
      <c r="J200" s="87">
        <f t="shared" si="110"/>
        <v>14.187192118226601</v>
      </c>
      <c r="K200" s="87" t="str">
        <f t="shared" si="111"/>
        <v>1+16.5120435856231j</v>
      </c>
      <c r="L200" s="87">
        <f t="shared" si="112"/>
        <v>-14.127381540759115</v>
      </c>
      <c r="M200" s="87" t="str">
        <f t="shared" si="113"/>
        <v>1.18489361460595j</v>
      </c>
      <c r="N200" s="87" t="str">
        <f t="shared" si="114"/>
        <v>-14.1273815407591+1.18489361460595j</v>
      </c>
      <c r="O200" s="87" t="str">
        <f t="shared" si="115"/>
        <v>0.027054668502602-1.16652803876801j</v>
      </c>
      <c r="P200" s="87" t="str">
        <f t="shared" si="116"/>
        <v>0.383829779741349-16.5497573972998j</v>
      </c>
      <c r="R200" s="87">
        <f t="shared" si="117"/>
        <v>23.645320197044338</v>
      </c>
      <c r="S200" s="87" t="str">
        <f t="shared" si="118"/>
        <v>1+0.0247309689250471j</v>
      </c>
      <c r="T200" s="87" t="str">
        <f t="shared" si="119"/>
        <v>-14.1273815407591+1.18489361460595j</v>
      </c>
      <c r="U200" s="87" t="str">
        <f t="shared" si="120"/>
        <v>-0.0701442692576213-0.00763371933846761j</v>
      </c>
      <c r="V200" s="87" t="str">
        <f t="shared" si="121"/>
        <v>-1.65858370658415-0.180501738052436j</v>
      </c>
      <c r="X200" s="87" t="str">
        <f t="shared" si="122"/>
        <v>-0.433114389470841-1.19967051649009j</v>
      </c>
      <c r="Y200" s="87">
        <f t="shared" si="123"/>
        <v>2.1133347563695399</v>
      </c>
      <c r="Z200" s="87">
        <f t="shared" si="124"/>
        <v>70.149009222425562</v>
      </c>
      <c r="AB200" s="87" t="str">
        <f t="shared" si="125"/>
        <v>-0.630067548101296-0.0685695193261869j</v>
      </c>
      <c r="AC200" s="87">
        <f t="shared" si="126"/>
        <v>-3.9611233777480632</v>
      </c>
      <c r="AD200" s="87">
        <f t="shared" si="127"/>
        <v>6.2109896924842189</v>
      </c>
      <c r="AF200" s="87" t="str">
        <f t="shared" si="128"/>
        <v>-0.156151478114761-0.451413546178996j</v>
      </c>
      <c r="AG200" s="87">
        <f t="shared" si="129"/>
        <v>-6.4176530040362767</v>
      </c>
      <c r="AH200" s="87">
        <f t="shared" si="130"/>
        <v>70.91864317813517</v>
      </c>
      <c r="AJ200" s="87" t="str">
        <f t="shared" si="131"/>
        <v>157495.751949242-817.954734929564j</v>
      </c>
      <c r="AK200" s="87" t="str">
        <f t="shared" si="132"/>
        <v>30000-0.000296771627100565j</v>
      </c>
      <c r="AL200" s="87" t="str">
        <f t="shared" si="146"/>
        <v>10000-67391.8871402852j</v>
      </c>
      <c r="AM200" s="87" t="str">
        <f t="shared" si="147"/>
        <v>953.157218115449-21012.2649809515j</v>
      </c>
      <c r="AN200" s="87" t="str">
        <f t="shared" si="148"/>
        <v>10953.1572181154-21012.2649809515j</v>
      </c>
      <c r="AO200" s="87" t="str">
        <f t="shared" si="149"/>
        <v>12603.3639449962-8925.8741182837j</v>
      </c>
      <c r="AP200" s="87" t="str">
        <f t="shared" si="150"/>
        <v>0.160000580020469+0.000698005055424691j</v>
      </c>
      <c r="AQ200" s="87" t="str">
        <f t="shared" si="133"/>
        <v>1+45.1092873192859j</v>
      </c>
      <c r="AR200" s="87">
        <f t="shared" si="134"/>
        <v>-1.3874618438990349E-6</v>
      </c>
      <c r="AS200" s="87" t="str">
        <f t="shared" si="135"/>
        <v>0.00251061542109527j</v>
      </c>
      <c r="AT200" s="87" t="str">
        <f t="shared" si="136"/>
        <v>-1.38746184389903E-06+0.00251061542109527j</v>
      </c>
      <c r="AU200" s="87" t="str">
        <f t="shared" si="137"/>
        <v>5.39015898558351-0.122471421684691j</v>
      </c>
      <c r="AW200" s="87" t="str">
        <f t="shared" si="151"/>
        <v>0.817514950415902-0.203672030067827j</v>
      </c>
      <c r="AX200" s="87">
        <f t="shared" si="138"/>
        <v>-1.4885605707720349</v>
      </c>
      <c r="AY200" s="87">
        <f t="shared" si="139"/>
        <v>166.01038229617353</v>
      </c>
      <c r="AZ200" s="87" t="str">
        <f t="shared" si="140"/>
        <v>-0.529055333546639+0.0722705294096591j</v>
      </c>
      <c r="BA200" s="87">
        <f t="shared" si="141"/>
        <v>-5.4496839485201063</v>
      </c>
      <c r="BB200" s="87">
        <f t="shared" si="142"/>
        <v>-7.7786280113422492</v>
      </c>
      <c r="BD200" s="87" t="str">
        <f t="shared" si="143"/>
        <v>-0.219596481238751-0.337233634275863j</v>
      </c>
      <c r="BE200" s="87">
        <f t="shared" si="144"/>
        <v>-7.9062135748083193</v>
      </c>
      <c r="BF200" s="87">
        <f t="shared" si="145"/>
        <v>56.929025474308744</v>
      </c>
      <c r="BH200" s="87">
        <f t="shared" si="152"/>
        <v>8.9062135748083193</v>
      </c>
      <c r="BI200" s="107">
        <f t="shared" si="153"/>
        <v>-56.929025474308744</v>
      </c>
      <c r="BJ200" s="91"/>
      <c r="BK200" s="91"/>
      <c r="BL200" s="91"/>
      <c r="BM200" s="91"/>
      <c r="BN200" s="42"/>
      <c r="BO200" s="42"/>
      <c r="BP200" s="42"/>
    </row>
    <row r="201" spans="1:68" s="87" customFormat="1">
      <c r="A201" s="87">
        <v>137</v>
      </c>
      <c r="B201" s="87">
        <f t="shared" si="103"/>
        <v>54954.087385762534</v>
      </c>
      <c r="C201" s="87" t="str">
        <f t="shared" si="104"/>
        <v>345286.714431686j</v>
      </c>
      <c r="D201" s="87">
        <f t="shared" si="105"/>
        <v>0.94034663268341667</v>
      </c>
      <c r="E201" s="87" t="str">
        <f t="shared" si="106"/>
        <v>-0.383651904924096j</v>
      </c>
      <c r="F201" s="87" t="str">
        <f t="shared" si="107"/>
        <v>0.940346632683417-0.383651904924096j</v>
      </c>
      <c r="G201" s="87">
        <f t="shared" si="108"/>
        <v>0.13444211237417258</v>
      </c>
      <c r="H201" s="87">
        <f t="shared" si="109"/>
        <v>-22.194962184505307</v>
      </c>
      <c r="J201" s="87">
        <f t="shared" si="110"/>
        <v>14.187192118226601</v>
      </c>
      <c r="K201" s="87" t="str">
        <f t="shared" si="111"/>
        <v>1+17.2902322251667j</v>
      </c>
      <c r="L201" s="87">
        <f t="shared" si="112"/>
        <v>-15.586844024181346</v>
      </c>
      <c r="M201" s="87" t="str">
        <f t="shared" si="113"/>
        <v>1.24073593025711j</v>
      </c>
      <c r="N201" s="87" t="str">
        <f t="shared" si="114"/>
        <v>-15.5868440241813+1.24073593025711j</v>
      </c>
      <c r="O201" s="87" t="str">
        <f t="shared" si="115"/>
        <v>0.0239919389680182-1.10737391980537j</v>
      </c>
      <c r="P201" s="87" t="str">
        <f t="shared" si="116"/>
        <v>0.340378247428041-15.7105265469924j</v>
      </c>
      <c r="R201" s="87">
        <f t="shared" si="117"/>
        <v>23.645320197044338</v>
      </c>
      <c r="S201" s="87" t="str">
        <f t="shared" si="118"/>
        <v>1+0.0258965035823764j</v>
      </c>
      <c r="T201" s="87" t="str">
        <f t="shared" si="119"/>
        <v>-15.5868440241813+1.24073593025711j</v>
      </c>
      <c r="U201" s="87" t="str">
        <f t="shared" si="120"/>
        <v>-0.0636212871978593-0.00672578235692414j</v>
      </c>
      <c r="V201" s="87" t="str">
        <f t="shared" si="121"/>
        <v>-1.5043457071415-0.159033277405103j</v>
      </c>
      <c r="X201" s="87" t="str">
        <f t="shared" si="122"/>
        <v>-0.433621099608017-1.13234936762041j</v>
      </c>
      <c r="Y201" s="87">
        <f t="shared" si="123"/>
        <v>1.6738892786873731</v>
      </c>
      <c r="Z201" s="87">
        <f t="shared" si="124"/>
        <v>69.046192042457534</v>
      </c>
      <c r="AB201" s="87" t="str">
        <f t="shared" si="125"/>
        <v>-0.571475173325697-0.0604140187579146j</v>
      </c>
      <c r="AC201" s="87">
        <f t="shared" si="126"/>
        <v>-4.8117857349782565</v>
      </c>
      <c r="AD201" s="87">
        <f t="shared" si="127"/>
        <v>6.0346613248072174</v>
      </c>
      <c r="AF201" s="87" t="str">
        <f t="shared" si="128"/>
        <v>-0.159239975409499-0.425032260287495j</v>
      </c>
      <c r="AG201" s="87">
        <f t="shared" si="129"/>
        <v>-6.8611213626318506</v>
      </c>
      <c r="AH201" s="87">
        <f t="shared" si="130"/>
        <v>69.461344215340773</v>
      </c>
      <c r="AJ201" s="87" t="str">
        <f t="shared" si="131"/>
        <v>157495.342117089-856.501525181986j</v>
      </c>
      <c r="AK201" s="87" t="str">
        <f t="shared" si="132"/>
        <v>30000-0.000310758042988518j</v>
      </c>
      <c r="AL201" s="87" t="str">
        <f t="shared" si="146"/>
        <v>10000-64358.7525769654j</v>
      </c>
      <c r="AM201" s="87" t="str">
        <f t="shared" si="147"/>
        <v>952.205115051587-20075.4423163262j</v>
      </c>
      <c r="AN201" s="87" t="str">
        <f t="shared" si="148"/>
        <v>10952.2051150516-20075.4423163262j</v>
      </c>
      <c r="AO201" s="87" t="str">
        <f t="shared" si="149"/>
        <v>12281.2029241115-8686.04479781614j</v>
      </c>
      <c r="AP201" s="87" t="str">
        <f t="shared" si="150"/>
        <v>0.160000635979755+0.000730900971527117j</v>
      </c>
      <c r="AQ201" s="87" t="str">
        <f t="shared" si="133"/>
        <v>1+47.2352225342546j</v>
      </c>
      <c r="AR201" s="87">
        <f t="shared" si="134"/>
        <v>-1.530969479430237E-6</v>
      </c>
      <c r="AS201" s="87" t="str">
        <f t="shared" si="135"/>
        <v>0.00262893708060568j</v>
      </c>
      <c r="AT201" s="87" t="str">
        <f t="shared" si="136"/>
        <v>-1.53096947943024E-06+0.00262893708060568j</v>
      </c>
      <c r="AU201" s="87" t="str">
        <f t="shared" si="137"/>
        <v>5.39015838501051-0.117253535754354j</v>
      </c>
      <c r="AW201" s="87" t="str">
        <f t="shared" si="151"/>
        <v>0.813793260228261-0.210655692560222j</v>
      </c>
      <c r="AX201" s="87">
        <f t="shared" si="138"/>
        <v>-1.5080467656561614</v>
      </c>
      <c r="AY201" s="87">
        <f t="shared" si="139"/>
        <v>165.48716888737425</v>
      </c>
      <c r="AZ201" s="87" t="str">
        <f t="shared" si="140"/>
        <v>-0.477789201402024+0.071219977129403j</v>
      </c>
      <c r="BA201" s="87">
        <f t="shared" si="141"/>
        <v>-6.3198325006344191</v>
      </c>
      <c r="BB201" s="87">
        <f t="shared" si="142"/>
        <v>-8.4781697878185298</v>
      </c>
      <c r="BD201" s="87" t="str">
        <f t="shared" si="143"/>
        <v>-0.219123883898463-0.312343581498386j</v>
      </c>
      <c r="BE201" s="87">
        <f t="shared" si="144"/>
        <v>-8.3691681282880239</v>
      </c>
      <c r="BF201" s="87">
        <f t="shared" si="145"/>
        <v>54.948513102715012</v>
      </c>
      <c r="BH201" s="87">
        <f t="shared" si="152"/>
        <v>9.3691681282880239</v>
      </c>
      <c r="BI201" s="107">
        <f t="shared" si="153"/>
        <v>-54.948513102715012</v>
      </c>
      <c r="BJ201" s="91"/>
      <c r="BK201" s="91"/>
      <c r="BL201" s="91"/>
      <c r="BM201" s="91"/>
      <c r="BN201" s="42"/>
      <c r="BO201" s="42"/>
      <c r="BP201" s="42"/>
    </row>
    <row r="202" spans="1:68" s="87" customFormat="1">
      <c r="A202" s="87">
        <v>138</v>
      </c>
      <c r="B202" s="87">
        <f t="shared" si="103"/>
        <v>57543.993733715761</v>
      </c>
      <c r="C202" s="87" t="str">
        <f t="shared" si="104"/>
        <v>361559.575944117j</v>
      </c>
      <c r="D202" s="87">
        <f t="shared" si="105"/>
        <v>0.93459138341084591</v>
      </c>
      <c r="E202" s="87" t="str">
        <f t="shared" si="106"/>
        <v>-0.40173286216013j</v>
      </c>
      <c r="F202" s="87" t="str">
        <f t="shared" si="107"/>
        <v>0.934591383410846-0.40173286216013j</v>
      </c>
      <c r="G202" s="87">
        <f t="shared" si="108"/>
        <v>0.14877549411341642</v>
      </c>
      <c r="H202" s="87">
        <f t="shared" si="109"/>
        <v>-23.260386802367364</v>
      </c>
      <c r="J202" s="87">
        <f t="shared" si="110"/>
        <v>14.187192118226601</v>
      </c>
      <c r="K202" s="87" t="str">
        <f t="shared" si="111"/>
        <v>1+18.1050957654017j</v>
      </c>
      <c r="L202" s="87">
        <f t="shared" si="112"/>
        <v>-17.187112815342726</v>
      </c>
      <c r="M202" s="87" t="str">
        <f t="shared" si="113"/>
        <v>1.29921001316471j</v>
      </c>
      <c r="N202" s="87" t="str">
        <f t="shared" si="114"/>
        <v>-17.1871128153427+1.29921001316471j</v>
      </c>
      <c r="O202" s="87" t="str">
        <f t="shared" si="115"/>
        <v>0.0213245814971249-1.05179915031783j</v>
      </c>
      <c r="P202" s="87" t="str">
        <f t="shared" si="116"/>
        <v>0.302535934540491-14.9220766153466j</v>
      </c>
      <c r="R202" s="87">
        <f t="shared" si="117"/>
        <v>23.645320197044338</v>
      </c>
      <c r="S202" s="87" t="str">
        <f t="shared" si="118"/>
        <v>1+0.0271169681958088j</v>
      </c>
      <c r="T202" s="87" t="str">
        <f t="shared" si="119"/>
        <v>-17.1871128153427+1.29921001316471j</v>
      </c>
      <c r="U202" s="87" t="str">
        <f t="shared" si="120"/>
        <v>-0.0577339619834584-0.00594198169300562j</v>
      </c>
      <c r="V202" s="87" t="str">
        <f t="shared" si="121"/>
        <v>-1.36513801734286-0.140500059736094j</v>
      </c>
      <c r="X202" s="87" t="str">
        <f t="shared" si="122"/>
        <v>-0.43397371997307-1.06880676585264j</v>
      </c>
      <c r="Y202" s="87">
        <f t="shared" si="123"/>
        <v>1.2407398603562509</v>
      </c>
      <c r="Z202" s="87">
        <f t="shared" si="124"/>
        <v>67.901090797376924</v>
      </c>
      <c r="AB202" s="87" t="str">
        <f t="shared" si="125"/>
        <v>-0.518592555800825-0.0533735667332235j</v>
      </c>
      <c r="AC202" s="87">
        <f t="shared" si="126"/>
        <v>-5.657713575541039</v>
      </c>
      <c r="AD202" s="87">
        <f t="shared" si="127"/>
        <v>5.8761942881080245</v>
      </c>
      <c r="AF202" s="87" t="str">
        <f t="shared" si="128"/>
        <v>-0.161677408308227-0.399584758869881j</v>
      </c>
      <c r="AG202" s="87">
        <f t="shared" si="129"/>
        <v>-7.309366106665256</v>
      </c>
      <c r="AH202" s="87">
        <f t="shared" si="130"/>
        <v>67.97107692131074</v>
      </c>
      <c r="AJ202" s="87" t="str">
        <f t="shared" si="131"/>
        <v>157494.89274752-896.86463950373j</v>
      </c>
      <c r="AK202" s="87" t="str">
        <f t="shared" si="132"/>
        <v>30000-0.000325403618349705j</v>
      </c>
      <c r="AL202" s="87" t="str">
        <f t="shared" si="146"/>
        <v>10000-61462.1315565899j</v>
      </c>
      <c r="AM202" s="87" t="str">
        <f t="shared" si="147"/>
        <v>951.163338629056-19181.182894125j</v>
      </c>
      <c r="AN202" s="87" t="str">
        <f t="shared" si="148"/>
        <v>10951.1633386291-19181.182894125j</v>
      </c>
      <c r="AO202" s="87" t="str">
        <f t="shared" si="149"/>
        <v>11976.7388212946-8441.94500226812j</v>
      </c>
      <c r="AP202" s="87" t="str">
        <f t="shared" si="150"/>
        <v>0.160000697337884+0.000765347217178384j</v>
      </c>
      <c r="AQ202" s="87" t="str">
        <f t="shared" si="133"/>
        <v>1+49.4613499891552j</v>
      </c>
      <c r="AR202" s="87">
        <f t="shared" si="134"/>
        <v>-1.6883224727702555E-6</v>
      </c>
      <c r="AS202" s="87" t="str">
        <f t="shared" si="135"/>
        <v>0.0027528350681318j</v>
      </c>
      <c r="AT202" s="87" t="str">
        <f t="shared" si="136"/>
        <v>-1.68832247277026E-06+0.0027528350681318j</v>
      </c>
      <c r="AU202" s="87" t="str">
        <f t="shared" si="137"/>
        <v>5.3901578036085-0.112284360269131j</v>
      </c>
      <c r="AW202" s="87" t="str">
        <f t="shared" si="151"/>
        <v>0.809750218798264-0.21792978531683j</v>
      </c>
      <c r="AX202" s="87">
        <f t="shared" si="138"/>
        <v>-1.5292805003296106</v>
      </c>
      <c r="AY202" s="87">
        <f t="shared" si="139"/>
        <v>164.93678265646213</v>
      </c>
      <c r="AZ202" s="87" t="str">
        <f t="shared" si="140"/>
        <v>-0.431562125466634+0.0697975070123085j</v>
      </c>
      <c r="BA202" s="87">
        <f t="shared" si="141"/>
        <v>-7.1869940758706488</v>
      </c>
      <c r="BB202" s="87">
        <f t="shared" si="142"/>
        <v>-9.1870230554298189</v>
      </c>
      <c r="BD202" s="87" t="str">
        <f t="shared" si="143"/>
        <v>-0.217999737468714-0.288329523040144j</v>
      </c>
      <c r="BE202" s="87">
        <f t="shared" si="144"/>
        <v>-8.8386466069948675</v>
      </c>
      <c r="BF202" s="87">
        <f t="shared" si="145"/>
        <v>52.907859577772797</v>
      </c>
      <c r="BH202" s="87">
        <f t="shared" si="152"/>
        <v>9.8386466069948675</v>
      </c>
      <c r="BI202" s="107">
        <f t="shared" si="153"/>
        <v>-52.907859577772797</v>
      </c>
      <c r="BJ202" s="91"/>
      <c r="BK202" s="91"/>
      <c r="BL202" s="91"/>
      <c r="BM202" s="91"/>
      <c r="BN202" s="42"/>
      <c r="BO202" s="42"/>
      <c r="BP202" s="42"/>
    </row>
    <row r="203" spans="1:68" s="87" customFormat="1">
      <c r="A203" s="87">
        <v>139</v>
      </c>
      <c r="B203" s="87">
        <f t="shared" si="103"/>
        <v>60255.95860743583</v>
      </c>
      <c r="C203" s="87" t="str">
        <f t="shared" si="104"/>
        <v>378599.353792262j</v>
      </c>
      <c r="D203" s="87">
        <f t="shared" si="105"/>
        <v>0.92828087807010351</v>
      </c>
      <c r="E203" s="87" t="str">
        <f t="shared" si="106"/>
        <v>-0.420665948658069j</v>
      </c>
      <c r="F203" s="87" t="str">
        <f t="shared" si="107"/>
        <v>0.928280878070104-0.420665948658069j</v>
      </c>
      <c r="G203" s="87">
        <f t="shared" si="108"/>
        <v>0.16475593132840349</v>
      </c>
      <c r="H203" s="87">
        <f t="shared" si="109"/>
        <v>-24.378449105316978</v>
      </c>
      <c r="J203" s="87">
        <f t="shared" si="110"/>
        <v>14.187192118226601</v>
      </c>
      <c r="K203" s="87" t="str">
        <f t="shared" si="111"/>
        <v>1+18.9583626411475j</v>
      </c>
      <c r="L203" s="87">
        <f t="shared" si="112"/>
        <v>-18.941772652819481</v>
      </c>
      <c r="M203" s="87" t="str">
        <f t="shared" si="113"/>
        <v>1.36043989469835j</v>
      </c>
      <c r="N203" s="87" t="str">
        <f t="shared" si="114"/>
        <v>-18.9417726528195+1.36043989469835j</v>
      </c>
      <c r="O203" s="87" t="str">
        <f t="shared" si="115"/>
        <v>0.0189937633684136-0.999511667398908j</v>
      </c>
      <c r="P203" s="87" t="str">
        <f t="shared" si="116"/>
        <v>0.269468169955819-14.1802640497973j</v>
      </c>
      <c r="R203" s="87">
        <f t="shared" si="117"/>
        <v>23.645320197044338</v>
      </c>
      <c r="S203" s="87" t="str">
        <f t="shared" si="118"/>
        <v>1+0.0283949515344196j</v>
      </c>
      <c r="T203" s="87" t="str">
        <f t="shared" si="119"/>
        <v>-18.9417726528195+1.36043989469835j</v>
      </c>
      <c r="U203" s="87" t="str">
        <f t="shared" si="120"/>
        <v>-0.0524153224608052-0.00526364924397594j</v>
      </c>
      <c r="V203" s="87" t="str">
        <f t="shared" si="121"/>
        <v>-1.23937708281707-0.124460671778741j</v>
      </c>
      <c r="X203" s="87" t="str">
        <f t="shared" si="122"/>
        <v>-0.434207044707671-1.00871242458211j</v>
      </c>
      <c r="Y203" s="87">
        <f t="shared" si="123"/>
        <v>0.81360456421529981</v>
      </c>
      <c r="Z203" s="87">
        <f t="shared" si="124"/>
        <v>66.710214034637772</v>
      </c>
      <c r="AB203" s="87" t="str">
        <f t="shared" si="125"/>
        <v>-0.470818130338282-0.0472804779109849j</v>
      </c>
      <c r="AC203" s="87">
        <f t="shared" si="126"/>
        <v>-6.4993590661619747</v>
      </c>
      <c r="AD203" s="87">
        <f t="shared" si="127"/>
        <v>5.7345291059920385</v>
      </c>
      <c r="AF203" s="87" t="str">
        <f t="shared" si="128"/>
        <v>-0.163493951637564-0.375046836986837j</v>
      </c>
      <c r="AG203" s="87">
        <f t="shared" si="129"/>
        <v>-7.762694472401936</v>
      </c>
      <c r="AH203" s="87">
        <f t="shared" si="130"/>
        <v>66.446196197485406</v>
      </c>
      <c r="AJ203" s="87" t="str">
        <f t="shared" si="131"/>
        <v>157494.400026533-939.12962969614j</v>
      </c>
      <c r="AK203" s="87" t="str">
        <f t="shared" si="132"/>
        <v>30000-0.000340739418413037j</v>
      </c>
      <c r="AL203" s="87" t="str">
        <f t="shared" si="146"/>
        <v>10000-58695.8799576176j</v>
      </c>
      <c r="AM203" s="87" t="str">
        <f t="shared" si="147"/>
        <v>950.023670403027-18327.5870602716j</v>
      </c>
      <c r="AN203" s="87" t="str">
        <f t="shared" si="148"/>
        <v>10950.023670403-18327.5870602716j</v>
      </c>
      <c r="AO203" s="87" t="str">
        <f t="shared" si="149"/>
        <v>11689.7198011391-8194.94652534459j</v>
      </c>
      <c r="AP203" s="87" t="str">
        <f t="shared" si="150"/>
        <v>0.160000764615724+0.000801416856090362j</v>
      </c>
      <c r="AQ203" s="87" t="str">
        <f t="shared" si="133"/>
        <v>1+51.7923915987814j</v>
      </c>
      <c r="AR203" s="87">
        <f t="shared" si="134"/>
        <v>-1.8608565990654384E-6</v>
      </c>
      <c r="AS203" s="87" t="str">
        <f t="shared" si="135"/>
        <v>0.00288257218791645j</v>
      </c>
      <c r="AT203" s="87" t="str">
        <f t="shared" si="136"/>
        <v>-1.86085659906544E-06+0.00288257218791645j</v>
      </c>
      <c r="AU203" s="87" t="str">
        <f t="shared" si="137"/>
        <v>5.39015723644194-0.10755335493871j</v>
      </c>
      <c r="AW203" s="87" t="str">
        <f t="shared" si="151"/>
        <v>0.805361791368654-0.225489163004833j</v>
      </c>
      <c r="AX203" s="87">
        <f t="shared" si="138"/>
        <v>-1.5524147665838008</v>
      </c>
      <c r="AY203" s="87">
        <f t="shared" si="139"/>
        <v>164.35855433761728</v>
      </c>
      <c r="AZ203" s="87" t="str">
        <f t="shared" si="140"/>
        <v>-0.389840168248696+0.0680864957503227j</v>
      </c>
      <c r="BA203" s="87">
        <f t="shared" si="141"/>
        <v>-8.0517738327457682</v>
      </c>
      <c r="BB203" s="87">
        <f t="shared" si="142"/>
        <v>-9.906916556390712</v>
      </c>
      <c r="BD203" s="87" t="str">
        <f t="shared" si="143"/>
        <v>-0.216240779128541-0.26518227817176j</v>
      </c>
      <c r="BE203" s="87">
        <f t="shared" si="144"/>
        <v>-9.3151092389857233</v>
      </c>
      <c r="BF203" s="87">
        <f t="shared" si="145"/>
        <v>50.804750535102642</v>
      </c>
      <c r="BH203" s="87">
        <f t="shared" si="152"/>
        <v>10.315109238985723</v>
      </c>
      <c r="BI203" s="107">
        <f t="shared" si="153"/>
        <v>-50.804750535102642</v>
      </c>
      <c r="BJ203" s="91"/>
      <c r="BK203" s="91"/>
      <c r="BL203" s="91"/>
      <c r="BM203" s="91"/>
      <c r="BN203" s="42"/>
      <c r="BO203" s="42"/>
      <c r="BP203" s="42"/>
    </row>
    <row r="204" spans="1:68" s="87" customFormat="1">
      <c r="A204" s="87">
        <v>140</v>
      </c>
      <c r="B204" s="87">
        <f t="shared" si="103"/>
        <v>63095.734448019379</v>
      </c>
      <c r="C204" s="87" t="str">
        <f t="shared" si="104"/>
        <v>396442.1916295j</v>
      </c>
      <c r="D204" s="87">
        <f t="shared" si="105"/>
        <v>0.92136154655733393</v>
      </c>
      <c r="E204" s="87" t="str">
        <f t="shared" si="106"/>
        <v>-0.440491324032778j</v>
      </c>
      <c r="F204" s="87" t="str">
        <f t="shared" si="107"/>
        <v>0.921361546557334-0.440491324032778j</v>
      </c>
      <c r="G204" s="87">
        <f t="shared" si="108"/>
        <v>0.18259201908277081</v>
      </c>
      <c r="H204" s="87">
        <f t="shared" si="109"/>
        <v>-25.551874623823714</v>
      </c>
      <c r="J204" s="87">
        <f t="shared" si="110"/>
        <v>14.187192118226601</v>
      </c>
      <c r="K204" s="87" t="str">
        <f t="shared" si="111"/>
        <v>1+19.8518427458472j</v>
      </c>
      <c r="L204" s="87">
        <f t="shared" si="112"/>
        <v>-20.865718906261016</v>
      </c>
      <c r="M204" s="87" t="str">
        <f t="shared" si="113"/>
        <v>1.424555451646j</v>
      </c>
      <c r="N204" s="87" t="str">
        <f t="shared" si="114"/>
        <v>-20.865718906261+1.424555451646j</v>
      </c>
      <c r="O204" s="87" t="str">
        <f t="shared" si="115"/>
        <v>0.0169506249518342-0.95025221655381j</v>
      </c>
      <c r="P204" s="87" t="str">
        <f t="shared" si="116"/>
        <v>0.240481772715677-13.4814107570196j</v>
      </c>
      <c r="R204" s="87">
        <f t="shared" si="117"/>
        <v>23.645320197044338</v>
      </c>
      <c r="S204" s="87" t="str">
        <f t="shared" si="118"/>
        <v>1+0.0297331643722125j</v>
      </c>
      <c r="T204" s="87" t="str">
        <f t="shared" si="119"/>
        <v>-20.865718906261+1.424555451646j</v>
      </c>
      <c r="U204" s="87" t="str">
        <f t="shared" si="120"/>
        <v>-0.0476063130598803-0.00467518026158973j</v>
      </c>
      <c r="V204" s="87" t="str">
        <f t="shared" si="121"/>
        <v>-1.1256665157016-0.110546134264191j</v>
      </c>
      <c r="X204" s="87" t="str">
        <f t="shared" si="122"/>
        <v>-0.434348493097341-0.951772506110185j</v>
      </c>
      <c r="Y204" s="87">
        <f t="shared" si="123"/>
        <v>0.39227477945313205</v>
      </c>
      <c r="Z204" s="87">
        <f t="shared" si="124"/>
        <v>65.470060671115391</v>
      </c>
      <c r="AB204" s="87" t="str">
        <f t="shared" si="125"/>
        <v>-0.427621433101213-0.0419945833854612j</v>
      </c>
      <c r="AC204" s="87">
        <f t="shared" si="126"/>
        <v>-7.3371270239832036</v>
      </c>
      <c r="AD204" s="87">
        <f t="shared" si="127"/>
        <v>5.6087502235454849</v>
      </c>
      <c r="AF204" s="87" t="str">
        <f t="shared" si="128"/>
        <v>-0.164716968343891-0.351395979184058j</v>
      </c>
      <c r="AG204" s="87">
        <f t="shared" si="129"/>
        <v>-8.2214384469886248</v>
      </c>
      <c r="AH204" s="87">
        <f t="shared" si="130"/>
        <v>64.885151331364256</v>
      </c>
      <c r="AJ204" s="87" t="str">
        <f t="shared" si="131"/>
        <v>157493.859772257-983.38607224677j</v>
      </c>
      <c r="AK204" s="87" t="str">
        <f t="shared" si="132"/>
        <v>30000-0.00035679797246655j</v>
      </c>
      <c r="AL204" s="87" t="str">
        <f t="shared" si="146"/>
        <v>10000-56054.1301895291j</v>
      </c>
      <c r="AM204" s="87" t="str">
        <f t="shared" si="147"/>
        <v>948.777183929661-17512.8410159051j</v>
      </c>
      <c r="AN204" s="87" t="str">
        <f t="shared" si="148"/>
        <v>10948.7771839297-17512.8410159051j</v>
      </c>
      <c r="AO204" s="87" t="str">
        <f t="shared" si="149"/>
        <v>11419.7815400197-7946.32792820164j</v>
      </c>
      <c r="AP204" s="87" t="str">
        <f t="shared" si="150"/>
        <v>0.160000838384396+0.000839186395203248j</v>
      </c>
      <c r="AQ204" s="87" t="str">
        <f t="shared" si="133"/>
        <v>1+54.2332918149156j</v>
      </c>
      <c r="AR204" s="87">
        <f t="shared" si="134"/>
        <v>-2.0500365066387339E-6</v>
      </c>
      <c r="AS204" s="87" t="str">
        <f t="shared" si="135"/>
        <v>0.00301842362978486j</v>
      </c>
      <c r="AT204" s="87" t="str">
        <f t="shared" si="136"/>
        <v>-2.05003650663873E-06+0.00301842362978486j</v>
      </c>
      <c r="AU204" s="87" t="str">
        <f t="shared" si="137"/>
        <v>5.39015667869613-0.103050484663082j</v>
      </c>
      <c r="AW204" s="87" t="str">
        <f t="shared" si="151"/>
        <v>0.800602842994132-0.233326843709004j</v>
      </c>
      <c r="AX204" s="87">
        <f t="shared" si="138"/>
        <v>-1.5776136155005551</v>
      </c>
      <c r="AY204" s="87">
        <f t="shared" si="139"/>
        <v>163.75182087293541</v>
      </c>
      <c r="AZ204" s="87" t="str">
        <f t="shared" si="140"/>
        <v>-0.35215339866026+0.0661545764390726j</v>
      </c>
      <c r="BA204" s="87">
        <f t="shared" si="141"/>
        <v>-8.9147406394837656</v>
      </c>
      <c r="BB204" s="87">
        <f t="shared" si="142"/>
        <v>-10.639428903519075</v>
      </c>
      <c r="BD204" s="87" t="str">
        <f t="shared" si="143"/>
        <v>-0.213862987860544-0.242895729622468j</v>
      </c>
      <c r="BE204" s="87">
        <f t="shared" si="144"/>
        <v>-9.799052062489185</v>
      </c>
      <c r="BF204" s="87">
        <f t="shared" si="145"/>
        <v>48.636972204299781</v>
      </c>
      <c r="BH204" s="87">
        <f t="shared" si="152"/>
        <v>10.799052062489185</v>
      </c>
      <c r="BI204" s="107">
        <f t="shared" si="153"/>
        <v>-48.636972204299781</v>
      </c>
      <c r="BJ204" s="91"/>
      <c r="BK204" s="91"/>
      <c r="BL204" s="91"/>
      <c r="BM204" s="91"/>
      <c r="BN204" s="42"/>
      <c r="BO204" s="42"/>
      <c r="BP204" s="42"/>
    </row>
    <row r="205" spans="1:68" s="87" customFormat="1">
      <c r="A205" s="87">
        <v>141</v>
      </c>
      <c r="B205" s="87">
        <f t="shared" si="103"/>
        <v>66069.344800759645</v>
      </c>
      <c r="C205" s="87" t="str">
        <f t="shared" si="104"/>
        <v>415125.936507115j</v>
      </c>
      <c r="D205" s="87">
        <f t="shared" si="105"/>
        <v>0.91377465042169559</v>
      </c>
      <c r="E205" s="87" t="str">
        <f t="shared" si="106"/>
        <v>-0.461251040563461j</v>
      </c>
      <c r="F205" s="87" t="str">
        <f t="shared" si="107"/>
        <v>0.913774650421696-0.461251040563461j</v>
      </c>
      <c r="G205" s="87">
        <f t="shared" si="108"/>
        <v>0.20252129308860195</v>
      </c>
      <c r="H205" s="87">
        <f t="shared" si="109"/>
        <v>-26.783524808380527</v>
      </c>
      <c r="J205" s="87">
        <f t="shared" si="110"/>
        <v>14.187192118226601</v>
      </c>
      <c r="K205" s="87" t="str">
        <f t="shared" si="111"/>
        <v>1+20.7874312705938j</v>
      </c>
      <c r="L205" s="87">
        <f t="shared" si="112"/>
        <v>-22.97528402371103</v>
      </c>
      <c r="M205" s="87" t="str">
        <f t="shared" si="113"/>
        <v>1.49169268170007j</v>
      </c>
      <c r="N205" s="87" t="str">
        <f t="shared" si="114"/>
        <v>-22.975284023711+1.49169268170007j</v>
      </c>
      <c r="O205" s="87" t="str">
        <f t="shared" si="115"/>
        <v>0.0151543943675462-0.9037897224683j</v>
      </c>
      <c r="P205" s="87" t="str">
        <f t="shared" si="116"/>
        <v>0.214998304327749-12.8222384271365j</v>
      </c>
      <c r="R205" s="87">
        <f t="shared" si="117"/>
        <v>23.645320197044338</v>
      </c>
      <c r="S205" s="87" t="str">
        <f t="shared" si="118"/>
        <v>1+0.0311344452380336j</v>
      </c>
      <c r="T205" s="87" t="str">
        <f t="shared" si="119"/>
        <v>-22.975284023711+1.49169268170007j</v>
      </c>
      <c r="U205" s="87" t="str">
        <f t="shared" si="120"/>
        <v>-0.0432547150658187-0.00416348224692312j</v>
      </c>
      <c r="V205" s="87" t="str">
        <f t="shared" si="121"/>
        <v>-1.0227715877632-0.0984468708632068j</v>
      </c>
      <c r="X205" s="87" t="str">
        <f t="shared" si="122"/>
        <v>-0.434419683173328-0.897724368234871j</v>
      </c>
      <c r="Y205" s="87">
        <f t="shared" si="123"/>
        <v>-2.3386629786230684E-2</v>
      </c>
      <c r="Z205" s="87">
        <f t="shared" si="124"/>
        <v>64.177098505983096</v>
      </c>
      <c r="AB205" s="87" t="str">
        <f t="shared" si="125"/>
        <v>-0.38853341197762-0.0373982804104428j</v>
      </c>
      <c r="AC205" s="87">
        <f t="shared" si="126"/>
        <v>-8.1713803326121575</v>
      </c>
      <c r="AD205" s="87">
        <f t="shared" si="127"/>
        <v>5.4980666350749914</v>
      </c>
      <c r="AF205" s="87" t="str">
        <f t="shared" si="128"/>
        <v>-0.165371410371143-0.328611551322682j</v>
      </c>
      <c r="AG205" s="87">
        <f t="shared" si="129"/>
        <v>-8.685954724209191</v>
      </c>
      <c r="AH205" s="87">
        <f t="shared" si="130"/>
        <v>63.286500872471223</v>
      </c>
      <c r="AJ205" s="87" t="str">
        <f t="shared" si="131"/>
        <v>157493.267399484-1029.72775693372j</v>
      </c>
      <c r="AK205" s="87" t="str">
        <f t="shared" si="132"/>
        <v>30000-0.000373613342856405j</v>
      </c>
      <c r="AL205" s="87" t="str">
        <f t="shared" si="146"/>
        <v>10000-53531.2787468805j</v>
      </c>
      <c r="AM205" s="87" t="str">
        <f t="shared" si="147"/>
        <v>947.414192797452-16735.2129158045j</v>
      </c>
      <c r="AN205" s="87" t="str">
        <f t="shared" si="148"/>
        <v>10947.4141927975-16735.2129158045j</v>
      </c>
      <c r="AO205" s="87" t="str">
        <f t="shared" si="149"/>
        <v>11166.4644280602-7697.26816418582j</v>
      </c>
      <c r="AP205" s="87" t="str">
        <f t="shared" si="150"/>
        <v>0.160000919270121+0.000878735946936427j</v>
      </c>
      <c r="AQ205" s="87" t="str">
        <f t="shared" si="133"/>
        <v>1+56.7892281141733j</v>
      </c>
      <c r="AR205" s="87">
        <f t="shared" si="134"/>
        <v>-2.2574681504412354E-6</v>
      </c>
      <c r="AS205" s="87" t="str">
        <f t="shared" si="135"/>
        <v>0.00316067755285914j</v>
      </c>
      <c r="AT205" s="87" t="str">
        <f t="shared" si="136"/>
        <v>-2.25746815044124E-06+0.00316067755285914j</v>
      </c>
      <c r="AU205" s="87" t="str">
        <f t="shared" si="137"/>
        <v>5.39015612563638-0.098766198246684j</v>
      </c>
      <c r="AW205" s="87" t="str">
        <f t="shared" si="151"/>
        <v>0.795447225096282-0.241433766778908j</v>
      </c>
      <c r="AX205" s="87">
        <f t="shared" si="138"/>
        <v>-1.6050526519386943</v>
      </c>
      <c r="AY205" s="87">
        <f t="shared" si="139"/>
        <v>163.11593164998504</v>
      </c>
      <c r="AZ205" s="87" t="str">
        <f t="shared" si="140"/>
        <v>-0.318087032125336+0.0640567267973589j</v>
      </c>
      <c r="BA205" s="87">
        <f t="shared" si="141"/>
        <v>-9.7764329845508371</v>
      </c>
      <c r="BB205" s="87">
        <f t="shared" si="142"/>
        <v>-11.386001714939994</v>
      </c>
      <c r="BD205" s="87" t="str">
        <f t="shared" si="143"/>
        <v>-0.21088215413288-0.221466904110767j</v>
      </c>
      <c r="BE205" s="87">
        <f t="shared" si="144"/>
        <v>-10.291007376147865</v>
      </c>
      <c r="BF205" s="87">
        <f t="shared" si="145"/>
        <v>46.402432522456337</v>
      </c>
      <c r="BH205" s="87">
        <f t="shared" si="152"/>
        <v>11.291007376147865</v>
      </c>
      <c r="BI205" s="107">
        <f t="shared" si="153"/>
        <v>-46.402432522456337</v>
      </c>
      <c r="BJ205" s="91"/>
      <c r="BK205" s="91"/>
      <c r="BL205" s="91"/>
      <c r="BM205" s="91"/>
      <c r="BN205" s="42"/>
      <c r="BO205" s="42"/>
      <c r="BP205" s="42"/>
    </row>
    <row r="206" spans="1:68" s="87" customFormat="1">
      <c r="A206" s="87">
        <v>142</v>
      </c>
      <c r="B206" s="87">
        <f t="shared" si="103"/>
        <v>69183.097091893665</v>
      </c>
      <c r="C206" s="87" t="str">
        <f t="shared" si="104"/>
        <v>434690.219152965j</v>
      </c>
      <c r="D206" s="87">
        <f t="shared" si="105"/>
        <v>0.90545578423256512</v>
      </c>
      <c r="E206" s="87" t="str">
        <f t="shared" si="106"/>
        <v>-0.482989132392183j</v>
      </c>
      <c r="F206" s="87" t="str">
        <f t="shared" si="107"/>
        <v>0.905455784232565-0.482989132392183j</v>
      </c>
      <c r="G206" s="87">
        <f t="shared" si="108"/>
        <v>0.22481439804793885</v>
      </c>
      <c r="H206" s="87">
        <f t="shared" si="109"/>
        <v>-28.07639750284358</v>
      </c>
      <c r="J206" s="87">
        <f t="shared" si="110"/>
        <v>14.187192118226601</v>
      </c>
      <c r="K206" s="87" t="str">
        <f t="shared" si="111"/>
        <v>1+21.7671127240847j</v>
      </c>
      <c r="L206" s="87">
        <f t="shared" si="112"/>
        <v>-25.288376178339242</v>
      </c>
      <c r="M206" s="87" t="str">
        <f t="shared" si="113"/>
        <v>1.56199399192675j</v>
      </c>
      <c r="N206" s="87" t="str">
        <f t="shared" si="114"/>
        <v>-25.2883761783392+1.56199399192675j</v>
      </c>
      <c r="O206" s="87" t="str">
        <f t="shared" si="115"/>
        <v>0.0135708925428474-0.859917414946326j</v>
      </c>
      <c r="P206" s="87" t="str">
        <f t="shared" si="116"/>
        <v>0.192532859721185-12.1998135716523j</v>
      </c>
      <c r="R206" s="87">
        <f t="shared" si="117"/>
        <v>23.645320197044338</v>
      </c>
      <c r="S206" s="87" t="str">
        <f t="shared" si="118"/>
        <v>1+0.0326017664364724j</v>
      </c>
      <c r="T206" s="87" t="str">
        <f t="shared" si="119"/>
        <v>-25.2883761783392+1.56199399192675j</v>
      </c>
      <c r="U206" s="87" t="str">
        <f t="shared" si="120"/>
        <v>-0.0393142378528211-0.00371753287347422j</v>
      </c>
      <c r="V206" s="87" t="str">
        <f t="shared" si="121"/>
        <v>-0.929597742332716-0.0879022551363362j</v>
      </c>
      <c r="X206" s="87" t="str">
        <f t="shared" si="122"/>
        <v>-0.434437656521545-0.846332172920792j</v>
      </c>
      <c r="Y206" s="87">
        <f t="shared" si="123"/>
        <v>-0.43344594831033889</v>
      </c>
      <c r="Z206" s="87">
        <f t="shared" si="124"/>
        <v>62.82774783780566</v>
      </c>
      <c r="AB206" s="87" t="str">
        <f t="shared" si="125"/>
        <v>-0.353138263632374-0.0333925614646184j</v>
      </c>
      <c r="AC206" s="87">
        <f t="shared" si="126"/>
        <v>-9.0024446369671818</v>
      </c>
      <c r="AD206" s="87">
        <f t="shared" si="127"/>
        <v>5.4017958134842274</v>
      </c>
      <c r="AF206" s="87" t="str">
        <f t="shared" si="128"/>
        <v>-0.165480229514791-0.306674950490069j</v>
      </c>
      <c r="AG206" s="87">
        <f t="shared" si="129"/>
        <v>-9.1566244725160892</v>
      </c>
      <c r="AH206" s="87">
        <f t="shared" si="130"/>
        <v>61.648928520325157</v>
      </c>
      <c r="AJ206" s="87" t="str">
        <f t="shared" si="131"/>
        <v>157492.617880775-1078.2528841597j</v>
      </c>
      <c r="AK206" s="87" t="str">
        <f t="shared" si="132"/>
        <v>30000-0.00039122119723767j</v>
      </c>
      <c r="AL206" s="87" t="str">
        <f t="shared" si="146"/>
        <v>10000-51121.9743235179j</v>
      </c>
      <c r="AM206" s="87" t="str">
        <f t="shared" si="147"/>
        <v>945.924196693479-15993.0491337561j</v>
      </c>
      <c r="AN206" s="87" t="str">
        <f t="shared" si="148"/>
        <v>10945.9241966935-15993.0491337561j</v>
      </c>
      <c r="AO206" s="87" t="str">
        <f t="shared" si="149"/>
        <v>10929.2302511531-7448.84292153842j</v>
      </c>
      <c r="AP206" s="87" t="str">
        <f t="shared" si="150"/>
        <v>0.160001007959539+0.00092014939908261j</v>
      </c>
      <c r="AQ206" s="87" t="str">
        <f t="shared" si="133"/>
        <v>1+59.4656219801256j</v>
      </c>
      <c r="AR206" s="87">
        <f t="shared" si="134"/>
        <v>-2.484912425060821E-6</v>
      </c>
      <c r="AS206" s="87" t="str">
        <f t="shared" si="135"/>
        <v>0.00330963569678246j</v>
      </c>
      <c r="AT206" s="87" t="str">
        <f t="shared" si="136"/>
        <v>-2.48491242506082E-06+0.00330963569678246j</v>
      </c>
      <c r="AU206" s="87" t="str">
        <f t="shared" si="137"/>
        <v>5.39015557256772-0.0946914081389556j</v>
      </c>
      <c r="AW206" s="87" t="str">
        <f t="shared" si="151"/>
        <v>0.789867895041543-0.24979853988201j</v>
      </c>
      <c r="AX206" s="87">
        <f t="shared" si="138"/>
        <v>-1.6349194816558954</v>
      </c>
      <c r="AY206" s="87">
        <f t="shared" si="139"/>
        <v>162.45025545785757</v>
      </c>
      <c r="AZ206" s="87" t="str">
        <f t="shared" si="140"/>
        <v>-0.287273990050711+0.0618377103977319j</v>
      </c>
      <c r="BA206" s="87">
        <f t="shared" si="141"/>
        <v>-10.637364118623067</v>
      </c>
      <c r="BB206" s="87">
        <f t="shared" si="142"/>
        <v>-12.147948728658207</v>
      </c>
      <c r="BD206" s="87" t="str">
        <f t="shared" si="143"/>
        <v>-0.207314475408646-0.200895977893426j</v>
      </c>
      <c r="BE206" s="87">
        <f t="shared" si="144"/>
        <v>-10.791543954171981</v>
      </c>
      <c r="BF206" s="87">
        <f t="shared" si="145"/>
        <v>44.099183978182822</v>
      </c>
      <c r="BH206" s="87">
        <f t="shared" si="152"/>
        <v>11.791543954171981</v>
      </c>
      <c r="BI206" s="107">
        <f t="shared" si="153"/>
        <v>-44.099183978182822</v>
      </c>
      <c r="BJ206" s="91"/>
      <c r="BK206" s="91"/>
      <c r="BL206" s="91"/>
      <c r="BM206" s="91"/>
      <c r="BN206" s="42"/>
      <c r="BO206" s="42"/>
      <c r="BP206" s="42"/>
    </row>
    <row r="207" spans="1:68" s="87" customFormat="1">
      <c r="A207" s="87">
        <v>143</v>
      </c>
      <c r="B207" s="87">
        <f t="shared" si="103"/>
        <v>72443.596007499029</v>
      </c>
      <c r="C207" s="87" t="str">
        <f t="shared" si="104"/>
        <v>455176.538033572j</v>
      </c>
      <c r="D207" s="87">
        <f t="shared" si="105"/>
        <v>0.89633432883955078</v>
      </c>
      <c r="E207" s="87" t="str">
        <f t="shared" si="106"/>
        <v>-0.505751708926191j</v>
      </c>
      <c r="F207" s="87" t="str">
        <f t="shared" si="107"/>
        <v>0.896334328839551-0.505751708926191j</v>
      </c>
      <c r="G207" s="87">
        <f t="shared" si="108"/>
        <v>0.24977980352636434</v>
      </c>
      <c r="H207" s="87">
        <f t="shared" si="109"/>
        <v>-29.433624936181701</v>
      </c>
      <c r="J207" s="87">
        <f t="shared" si="110"/>
        <v>14.187192118226601</v>
      </c>
      <c r="K207" s="87" t="str">
        <f t="shared" si="111"/>
        <v>1+22.7929651420311j</v>
      </c>
      <c r="L207" s="87">
        <f t="shared" si="112"/>
        <v>-27.824631291558926</v>
      </c>
      <c r="M207" s="87" t="str">
        <f t="shared" si="113"/>
        <v>1.63560850083049j</v>
      </c>
      <c r="N207" s="87" t="str">
        <f t="shared" si="114"/>
        <v>-27.8246312915589+1.63560850083049j</v>
      </c>
      <c r="O207" s="87" t="str">
        <f t="shared" si="115"/>
        <v>0.0121713411104772-0.818449572769466j</v>
      </c>
      <c r="P207" s="87" t="str">
        <f t="shared" si="116"/>
        <v>0.17267715467081-11.6115013279609j</v>
      </c>
      <c r="R207" s="87">
        <f t="shared" si="117"/>
        <v>23.645320197044338</v>
      </c>
      <c r="S207" s="87" t="str">
        <f t="shared" si="118"/>
        <v>1+0.0341382403525179j</v>
      </c>
      <c r="T207" s="87" t="str">
        <f t="shared" si="119"/>
        <v>-27.8246312915589+1.63560850083049j</v>
      </c>
      <c r="U207" s="87" t="str">
        <f t="shared" si="120"/>
        <v>-0.0357437497150988-0.00332802329949231j</v>
      </c>
      <c r="V207" s="87" t="str">
        <f t="shared" si="121"/>
        <v>-0.845172407056523-0.0786921765397197j</v>
      </c>
      <c r="X207" s="87" t="str">
        <f t="shared" si="122"/>
        <v>-0.434415835855258-0.797383198567943j</v>
      </c>
      <c r="Y207" s="87">
        <f t="shared" si="123"/>
        <v>-0.83789807056881449</v>
      </c>
      <c r="Z207" s="87">
        <f t="shared" si="124"/>
        <v>61.418370224441858</v>
      </c>
      <c r="AB207" s="87" t="str">
        <f t="shared" si="125"/>
        <v>-0.321066524482921-0.0298938103216076j</v>
      </c>
      <c r="AC207" s="87">
        <f t="shared" si="126"/>
        <v>-9.830612426357602</v>
      </c>
      <c r="AD207" s="87">
        <f t="shared" si="127"/>
        <v>5.3193503247002525</v>
      </c>
      <c r="AF207" s="87" t="str">
        <f t="shared" si="128"/>
        <v>-0.165064796952399-0.285569710620727j</v>
      </c>
      <c r="AG207" s="87">
        <f t="shared" si="129"/>
        <v>-9.6338528802932153</v>
      </c>
      <c r="AH207" s="87">
        <f t="shared" si="130"/>
        <v>59.971259942453059</v>
      </c>
      <c r="AJ207" s="87" t="str">
        <f t="shared" si="131"/>
        <v>157491.905703831-1129.06427140363j</v>
      </c>
      <c r="AK207" s="87" t="str">
        <f t="shared" si="132"/>
        <v>30000-0.000409658884230216j</v>
      </c>
      <c r="AL207" s="87" t="str">
        <f t="shared" si="146"/>
        <v>10000-48821.1064617378j</v>
      </c>
      <c r="AM207" s="87" t="str">
        <f t="shared" si="147"/>
        <v>944.295825854646-15284.7706861954j</v>
      </c>
      <c r="AN207" s="87" t="str">
        <f t="shared" si="148"/>
        <v>10944.2958258546-15284.7706861954j</v>
      </c>
      <c r="AO207" s="87" t="str">
        <f t="shared" si="149"/>
        <v>10707.4780033004-7202.02335458759j</v>
      </c>
      <c r="AP207" s="87" t="str">
        <f t="shared" si="150"/>
        <v>0.160001105205528+0.000963514592704648j</v>
      </c>
      <c r="AQ207" s="87" t="str">
        <f t="shared" si="133"/>
        <v>1+62.2681504029926j</v>
      </c>
      <c r="AR207" s="87">
        <f t="shared" si="134"/>
        <v>-2.7343001130187996E-6</v>
      </c>
      <c r="AS207" s="87" t="str">
        <f t="shared" si="135"/>
        <v>0.00346561402174925j</v>
      </c>
      <c r="AT207" s="87" t="str">
        <f t="shared" si="136"/>
        <v>-0.0000027343001130188+0.00346561402174925j</v>
      </c>
      <c r="AU207" s="87" t="str">
        <f t="shared" si="137"/>
        <v>5.39015501479515-0.0908174711583378j</v>
      </c>
      <c r="AW207" s="87" t="str">
        <f t="shared" si="151"/>
        <v>0.783837073431548-0.25840717849097j</v>
      </c>
      <c r="AX207" s="87">
        <f t="shared" si="138"/>
        <v>-1.6674140951226963</v>
      </c>
      <c r="AY207" s="87">
        <f t="shared" si="139"/>
        <v>161.75418819011509</v>
      </c>
      <c r="AZ207" s="87" t="str">
        <f t="shared" si="140"/>
        <v>-0.259388620107082+0.0595340179033268j</v>
      </c>
      <c r="BA207" s="87">
        <f t="shared" si="141"/>
        <v>-11.498026521480302</v>
      </c>
      <c r="BB207" s="87">
        <f t="shared" si="142"/>
        <v>-12.92646148518466</v>
      </c>
      <c r="BD207" s="87" t="str">
        <f t="shared" si="143"/>
        <v>-0.203177170553726-0.18118619778499j</v>
      </c>
      <c r="BE207" s="87">
        <f t="shared" si="144"/>
        <v>-11.301266975415917</v>
      </c>
      <c r="BF207" s="87">
        <f t="shared" si="145"/>
        <v>41.72544813256809</v>
      </c>
      <c r="BH207" s="87">
        <f t="shared" si="152"/>
        <v>12.301266975415917</v>
      </c>
      <c r="BI207" s="107">
        <f t="shared" si="153"/>
        <v>-41.72544813256809</v>
      </c>
      <c r="BJ207" s="91"/>
      <c r="BK207" s="91"/>
      <c r="BL207" s="91"/>
      <c r="BM207" s="91"/>
      <c r="BN207" s="42"/>
      <c r="BO207" s="42"/>
      <c r="BP207" s="42"/>
    </row>
    <row r="208" spans="1:68" s="87" customFormat="1">
      <c r="A208" s="87">
        <v>144</v>
      </c>
      <c r="B208" s="87">
        <f t="shared" si="103"/>
        <v>75857.757502918379</v>
      </c>
      <c r="C208" s="87" t="str">
        <f t="shared" si="104"/>
        <v>476628.347377929j</v>
      </c>
      <c r="D208" s="87">
        <f t="shared" si="105"/>
        <v>0.88633285188401811</v>
      </c>
      <c r="E208" s="87" t="str">
        <f t="shared" si="106"/>
        <v>-0.529587052642143j</v>
      </c>
      <c r="F208" s="87" t="str">
        <f t="shared" si="107"/>
        <v>0.886332851884018-0.529587052642143j</v>
      </c>
      <c r="G208" s="87">
        <f t="shared" si="108"/>
        <v>0.2777691072430622</v>
      </c>
      <c r="H208" s="87">
        <f t="shared" si="109"/>
        <v>-30.858468415876196</v>
      </c>
      <c r="J208" s="87">
        <f t="shared" si="110"/>
        <v>14.187192118226601</v>
      </c>
      <c r="K208" s="87" t="str">
        <f t="shared" si="111"/>
        <v>1+23.8671644949498j</v>
      </c>
      <c r="L208" s="87">
        <f t="shared" si="112"/>
        <v>-30.605579723060906</v>
      </c>
      <c r="M208" s="87" t="str">
        <f t="shared" si="113"/>
        <v>1.71269235465434j</v>
      </c>
      <c r="N208" s="87" t="str">
        <f t="shared" si="114"/>
        <v>-30.6055797230609+1.71269235465434j</v>
      </c>
      <c r="O208" s="87" t="str">
        <f t="shared" si="115"/>
        <v>0.0109314067106731-0.779218775597357j</v>
      </c>
      <c r="P208" s="87" t="str">
        <f t="shared" si="116"/>
        <v>0.155085967126791-11.054926471529j</v>
      </c>
      <c r="R208" s="87">
        <f t="shared" si="117"/>
        <v>23.645320197044338</v>
      </c>
      <c r="S208" s="87" t="str">
        <f t="shared" si="118"/>
        <v>1+0.0357471260533447j</v>
      </c>
      <c r="T208" s="87" t="str">
        <f t="shared" si="119"/>
        <v>-30.6055797230609+1.71269235465434j</v>
      </c>
      <c r="U208" s="87" t="str">
        <f t="shared" si="120"/>
        <v>-0.0325066239262268-0.0029870688010047j</v>
      </c>
      <c r="V208" s="87" t="str">
        <f t="shared" si="121"/>
        <v>-0.768629531260535-0.0706301982503574j</v>
      </c>
      <c r="X208" s="87" t="str">
        <f t="shared" si="122"/>
        <v>-0.434364776665947-0.750684729358553j</v>
      </c>
      <c r="Y208" s="87">
        <f t="shared" si="123"/>
        <v>-1.2366648494406129</v>
      </c>
      <c r="Z208" s="87">
        <f t="shared" si="124"/>
        <v>59.945262712700227</v>
      </c>
      <c r="AB208" s="87" t="str">
        <f t="shared" si="125"/>
        <v>-0.291989196708657-0.0268312028249466j</v>
      </c>
      <c r="AC208" s="87">
        <f t="shared" si="126"/>
        <v>-10.656146596279024</v>
      </c>
      <c r="AD208" s="87">
        <f t="shared" si="127"/>
        <v>5.2502266384412053</v>
      </c>
      <c r="AF208" s="87" t="str">
        <f t="shared" si="128"/>
        <v>-0.16414532929324-0.265281560855511j</v>
      </c>
      <c r="AG208" s="87">
        <f t="shared" si="129"/>
        <v>-10.118068442882876</v>
      </c>
      <c r="AH208" s="87">
        <f t="shared" si="130"/>
        <v>58.252480398083875</v>
      </c>
      <c r="AJ208" s="87" t="str">
        <f t="shared" si="131"/>
        <v>157491.124824743-1182.26956919256j</v>
      </c>
      <c r="AK208" s="87" t="str">
        <f t="shared" si="132"/>
        <v>30000-0.000428965512640137j</v>
      </c>
      <c r="AL208" s="87" t="str">
        <f t="shared" si="146"/>
        <v>10000-46623.7947123228j</v>
      </c>
      <c r="AM208" s="87" t="str">
        <f t="shared" si="147"/>
        <v>942.516784373787-14608.8698057488j</v>
      </c>
      <c r="AN208" s="87" t="str">
        <f t="shared" si="148"/>
        <v>10942.5167843738-14608.8698057488j</v>
      </c>
      <c r="AO208" s="87" t="str">
        <f t="shared" si="149"/>
        <v>10500.558570961-6957.67685243916j</v>
      </c>
      <c r="AP208" s="87" t="str">
        <f t="shared" si="150"/>
        <v>0.16000121183361+0.00100892350841204j</v>
      </c>
      <c r="AQ208" s="87" t="str">
        <f t="shared" si="133"/>
        <v>1+65.2027579213007j</v>
      </c>
      <c r="AR208" s="87">
        <f t="shared" si="134"/>
        <v>-3.0077482752512752E-6</v>
      </c>
      <c r="AS208" s="87" t="str">
        <f t="shared" si="135"/>
        <v>0.00362894337869913j</v>
      </c>
      <c r="AT208" s="87" t="str">
        <f t="shared" si="136"/>
        <v>-3.00774827525128E-06+0.00362894337869913j</v>
      </c>
      <c r="AU208" s="87" t="str">
        <f t="shared" si="137"/>
        <v>5.39015444758374-0.0871361701588221j</v>
      </c>
      <c r="AW208" s="87" t="str">
        <f t="shared" si="151"/>
        <v>0.777326443825322-0.26724284211314j</v>
      </c>
      <c r="AX208" s="87">
        <f t="shared" si="138"/>
        <v>-1.7027491699366146</v>
      </c>
      <c r="AY208" s="87">
        <f t="shared" si="139"/>
        <v>161.02716131175808</v>
      </c>
      <c r="AZ208" s="87" t="str">
        <f t="shared" si="140"/>
        <v>-0.234141370813206+0.0571754193192826j</v>
      </c>
      <c r="BA208" s="87">
        <f t="shared" si="141"/>
        <v>-12.358895766215623</v>
      </c>
      <c r="BB208" s="87">
        <f t="shared" si="142"/>
        <v>-13.722612049800716</v>
      </c>
      <c r="BD208" s="87" t="str">
        <f t="shared" si="143"/>
        <v>-0.198489103373288-0.162343707992322j</v>
      </c>
      <c r="BE208" s="87">
        <f t="shared" si="144"/>
        <v>-11.820817612819482</v>
      </c>
      <c r="BF208" s="87">
        <f t="shared" si="145"/>
        <v>39.279641709841769</v>
      </c>
      <c r="BH208" s="87">
        <f t="shared" si="152"/>
        <v>12.820817612819482</v>
      </c>
      <c r="BI208" s="107">
        <f t="shared" si="153"/>
        <v>-39.279641709841769</v>
      </c>
      <c r="BJ208" s="91"/>
      <c r="BK208" s="91"/>
      <c r="BL208" s="91"/>
      <c r="BM208" s="91"/>
      <c r="BN208" s="42"/>
      <c r="BO208" s="42"/>
      <c r="BP208" s="42"/>
    </row>
    <row r="209" spans="1:68" s="87" customFormat="1">
      <c r="A209" s="87">
        <v>145</v>
      </c>
      <c r="B209" s="87">
        <f t="shared" si="103"/>
        <v>79432.823472428208</v>
      </c>
      <c r="C209" s="87" t="str">
        <f t="shared" si="104"/>
        <v>499091.149349751j</v>
      </c>
      <c r="D209" s="87">
        <f t="shared" si="105"/>
        <v>0.87536645047304806</v>
      </c>
      <c r="E209" s="87" t="str">
        <f t="shared" si="106"/>
        <v>-0.554545721499723j</v>
      </c>
      <c r="F209" s="87" t="str">
        <f t="shared" si="107"/>
        <v>0.875366450473048-0.554545721499723j</v>
      </c>
      <c r="G209" s="87">
        <f t="shared" si="108"/>
        <v>0.30918295422684322</v>
      </c>
      <c r="H209" s="87">
        <f t="shared" si="109"/>
        <v>-32.354308720290987</v>
      </c>
      <c r="J209" s="87">
        <f t="shared" si="110"/>
        <v>14.187192118226601</v>
      </c>
      <c r="K209" s="87" t="str">
        <f t="shared" si="111"/>
        <v>1+24.9919893036888j</v>
      </c>
      <c r="L209" s="87">
        <f t="shared" si="112"/>
        <v>-33.65482904280141</v>
      </c>
      <c r="M209" s="87" t="str">
        <f t="shared" si="113"/>
        <v>1.79340905858707j</v>
      </c>
      <c r="N209" s="87" t="str">
        <f t="shared" si="114"/>
        <v>-33.6548290428014+1.79340905858707j</v>
      </c>
      <c r="O209" s="87" t="str">
        <f t="shared" si="115"/>
        <v>0.00983043093087946-0.742073575475477j</v>
      </c>
      <c r="P209" s="87" t="str">
        <f t="shared" si="116"/>
        <v>0.139466212221344-10.5279403811299j</v>
      </c>
      <c r="R209" s="87">
        <f t="shared" si="117"/>
        <v>23.645320197044338</v>
      </c>
      <c r="S209" s="87" t="str">
        <f t="shared" si="118"/>
        <v>1+0.0374318362012313j</v>
      </c>
      <c r="T209" s="87" t="str">
        <f t="shared" si="119"/>
        <v>-33.6548290428014+1.79340905858707j</v>
      </c>
      <c r="U209" s="87" t="str">
        <f t="shared" si="120"/>
        <v>-0.0295701803726145-0.00268797281455457j</v>
      </c>
      <c r="V209" s="87" t="str">
        <f t="shared" si="121"/>
        <v>-0.699196383194826-0.0635579778810933j</v>
      </c>
      <c r="X209" s="87" t="str">
        <f t="shared" si="122"/>
        <v>-0.434292759359646-0.706061420119231j</v>
      </c>
      <c r="Y209" s="87">
        <f t="shared" si="123"/>
        <v>-1.6295923804999801</v>
      </c>
      <c r="Z209" s="87">
        <f t="shared" si="124"/>
        <v>58.404658149727865</v>
      </c>
      <c r="AB209" s="87" t="str">
        <f t="shared" si="125"/>
        <v>-0.265612732750252-0.0241445874132522j</v>
      </c>
      <c r="AC209" s="87">
        <f t="shared" si="126"/>
        <v>-11.479283564058342</v>
      </c>
      <c r="AD209" s="87">
        <f t="shared" si="127"/>
        <v>5.1939957454851537</v>
      </c>
      <c r="AF209" s="87" t="str">
        <f t="shared" si="128"/>
        <v>-0.162741317901065-0.245798433276469j</v>
      </c>
      <c r="AG209" s="87">
        <f t="shared" si="129"/>
        <v>-10.60972195657838</v>
      </c>
      <c r="AH209" s="87">
        <f t="shared" si="130"/>
        <v>56.491752997122674</v>
      </c>
      <c r="AJ209" s="87" t="str">
        <f t="shared" si="131"/>
        <v>157490.268616749-1237.98148701152j</v>
      </c>
      <c r="AK209" s="87" t="str">
        <f t="shared" si="132"/>
        <v>30000-0.000449182034414775j</v>
      </c>
      <c r="AL209" s="87" t="str">
        <f t="shared" si="146"/>
        <v>10000-44525.3782824536j</v>
      </c>
      <c r="AM209" s="87" t="str">
        <f t="shared" si="147"/>
        <v>940.573792973721-13963.9066565701j</v>
      </c>
      <c r="AN209" s="87" t="str">
        <f t="shared" si="148"/>
        <v>10940.5737929737-13963.9066565701j</v>
      </c>
      <c r="AO209" s="87" t="str">
        <f t="shared" si="149"/>
        <v>10307.7881150624-6716.56949161025j</v>
      </c>
      <c r="AP209" s="87" t="str">
        <f t="shared" si="150"/>
        <v>0.160001328748946+0.0010564724614109j</v>
      </c>
      <c r="AQ209" s="87" t="str">
        <f t="shared" si="133"/>
        <v>1+68.2756692310459j</v>
      </c>
      <c r="AR209" s="87">
        <f t="shared" si="134"/>
        <v>-3.3075782229146087E-6</v>
      </c>
      <c r="AS209" s="87" t="str">
        <f t="shared" si="135"/>
        <v>0.00379997021109615j</v>
      </c>
      <c r="AT209" s="87" t="str">
        <f t="shared" si="136"/>
        <v>-3.30757822291461E-06+0.00379997021109615j</v>
      </c>
      <c r="AU209" s="87" t="str">
        <f t="shared" si="137"/>
        <v>5.3901538661184-0.0836396966001612j</v>
      </c>
      <c r="AW209" s="87" t="str">
        <f t="shared" si="151"/>
        <v>0.770307399455193-0.276285572788799j</v>
      </c>
      <c r="AX209" s="87">
        <f t="shared" si="138"/>
        <v>-1.7411502716295304</v>
      </c>
      <c r="AY209" s="87">
        <f t="shared" si="139"/>
        <v>160.26865109261431</v>
      </c>
      <c r="AZ209" s="87" t="str">
        <f t="shared" si="140"/>
        <v>-0.211274254590253+0.0547862116666806j</v>
      </c>
      <c r="BA209" s="87">
        <f t="shared" si="141"/>
        <v>-13.22043383568789</v>
      </c>
      <c r="BB209" s="87">
        <f t="shared" si="142"/>
        <v>-14.53735316190054</v>
      </c>
      <c r="BD209" s="87" t="str">
        <f t="shared" si="143"/>
        <v>-0.193271402304659-0.144377273694658j</v>
      </c>
      <c r="BE209" s="87">
        <f t="shared" si="144"/>
        <v>-12.350872228207908</v>
      </c>
      <c r="BF209" s="87">
        <f t="shared" si="145"/>
        <v>36.760404089736994</v>
      </c>
      <c r="BH209" s="87">
        <f t="shared" si="152"/>
        <v>13.350872228207908</v>
      </c>
      <c r="BI209" s="107">
        <f t="shared" si="153"/>
        <v>-36.760404089736994</v>
      </c>
      <c r="BJ209" s="91"/>
      <c r="BK209" s="91"/>
      <c r="BL209" s="91"/>
      <c r="BM209" s="91"/>
      <c r="BN209" s="42"/>
      <c r="BO209" s="42"/>
      <c r="BP209" s="42"/>
    </row>
    <row r="210" spans="1:68" s="87" customFormat="1">
      <c r="A210" s="87">
        <v>146</v>
      </c>
      <c r="B210" s="87">
        <f t="shared" si="103"/>
        <v>83176.377110267145</v>
      </c>
      <c r="C210" s="87" t="str">
        <f t="shared" si="104"/>
        <v>522612.590563659j</v>
      </c>
      <c r="D210" s="87">
        <f t="shared" si="105"/>
        <v>0.8633420304357653</v>
      </c>
      <c r="E210" s="87" t="str">
        <f t="shared" si="106"/>
        <v>-0.580680656181843j</v>
      </c>
      <c r="F210" s="87" t="str">
        <f t="shared" si="107"/>
        <v>0.863342030435765-0.580680656181843j</v>
      </c>
      <c r="G210" s="87">
        <f t="shared" si="108"/>
        <v>0.344477581405428</v>
      </c>
      <c r="H210" s="87">
        <f t="shared" si="109"/>
        <v>-33.924630977101728</v>
      </c>
      <c r="J210" s="87">
        <f t="shared" si="110"/>
        <v>14.187192118226601</v>
      </c>
      <c r="K210" s="87" t="str">
        <f t="shared" si="111"/>
        <v>1+26.1698254724752j</v>
      </c>
      <c r="L210" s="87">
        <f t="shared" si="112"/>
        <v>-36.998264436501401</v>
      </c>
      <c r="M210" s="87" t="str">
        <f t="shared" si="113"/>
        <v>1.87792982357961j</v>
      </c>
      <c r="N210" s="87" t="str">
        <f t="shared" si="114"/>
        <v>-36.9982644365014+1.87792982357961j</v>
      </c>
      <c r="O210" s="87" t="str">
        <f t="shared" si="115"/>
        <v>0.00885080683527563-0.7068765164172j</v>
      </c>
      <c r="P210" s="87" t="str">
        <f t="shared" si="116"/>
        <v>0.125568096973369-10.0285929422736j</v>
      </c>
      <c r="R210" s="87">
        <f t="shared" si="117"/>
        <v>23.645320197044338</v>
      </c>
      <c r="S210" s="87" t="str">
        <f t="shared" si="118"/>
        <v>1+0.0391959442922744j</v>
      </c>
      <c r="T210" s="87" t="str">
        <f t="shared" si="119"/>
        <v>-36.9982644365014+1.87792982357961j</v>
      </c>
      <c r="U210" s="87" t="str">
        <f t="shared" si="120"/>
        <v>-0.0269052068314485-0.00242503360568752j</v>
      </c>
      <c r="V210" s="87" t="str">
        <f t="shared" si="121"/>
        <v>-0.636182230497305-0.0573406960950744j</v>
      </c>
      <c r="X210" s="87" t="str">
        <f t="shared" si="122"/>
        <v>-0.434206257224885-0.663353054737742j</v>
      </c>
      <c r="Y210" s="87">
        <f t="shared" si="123"/>
        <v>-2.0164472755342477</v>
      </c>
      <c r="Z210" s="87">
        <f t="shared" si="124"/>
        <v>56.792732475532404</v>
      </c>
      <c r="AB210" s="87" t="str">
        <f t="shared" si="125"/>
        <v>-0.241674735211631-0.0217827485291361j</v>
      </c>
      <c r="AC210" s="87">
        <f t="shared" si="126"/>
        <v>-12.30023600100405</v>
      </c>
      <c r="AD210" s="87">
        <f t="shared" si="127"/>
        <v>5.1502952685688683</v>
      </c>
      <c r="AF210" s="87" t="str">
        <f t="shared" si="128"/>
        <v>-0.160871956958372-0.227110416543055j</v>
      </c>
      <c r="AG210" s="87">
        <f t="shared" si="129"/>
        <v>-11.109285186754354</v>
      </c>
      <c r="AH210" s="87">
        <f t="shared" si="130"/>
        <v>54.688437375423149</v>
      </c>
      <c r="AJ210" s="87" t="str">
        <f t="shared" si="131"/>
        <v>157489.329814053-1296.31802958404j</v>
      </c>
      <c r="AK210" s="87" t="str">
        <f t="shared" si="132"/>
        <v>30000-0.000470351331507294j</v>
      </c>
      <c r="AL210" s="87" t="str">
        <f t="shared" si="146"/>
        <v>10000-42521.406149543j</v>
      </c>
      <c r="AM210" s="87" t="str">
        <f t="shared" si="147"/>
        <v>938.452532029939-13348.5061836501j</v>
      </c>
      <c r="AN210" s="87" t="str">
        <f t="shared" si="148"/>
        <v>10938.4525320299-13348.5061836501j</v>
      </c>
      <c r="AO210" s="87" t="str">
        <f t="shared" si="149"/>
        <v>10128.4600502593-6479.3698313636j</v>
      </c>
      <c r="AP210" s="87" t="str">
        <f t="shared" si="150"/>
        <v>0.160001456944025+0.00110626230574042j</v>
      </c>
      <c r="AQ210" s="87" t="str">
        <f t="shared" si="133"/>
        <v>1+71.4934023891085j</v>
      </c>
      <c r="AR210" s="87">
        <f t="shared" si="134"/>
        <v>-3.6363352230782152E-6</v>
      </c>
      <c r="AS210" s="87" t="str">
        <f t="shared" si="135"/>
        <v>0.00397905728978178j</v>
      </c>
      <c r="AT210" s="87" t="str">
        <f t="shared" si="136"/>
        <v>-3.63633522307822E-06+0.00397905728978178j</v>
      </c>
      <c r="AU210" s="87" t="str">
        <f t="shared" si="137"/>
        <v>5.39015326546311-0.08032063398477j</v>
      </c>
      <c r="AW210" s="87" t="str">
        <f t="shared" si="151"/>
        <v>0.76275134110077-0.285512042723463j</v>
      </c>
      <c r="AX210" s="87">
        <f t="shared" si="138"/>
        <v>-1.7828559306614573</v>
      </c>
      <c r="AY210" s="87">
        <f t="shared" si="139"/>
        <v>159.47818859099436</v>
      </c>
      <c r="AZ210" s="87" t="str">
        <f t="shared" si="140"/>
        <v>-0.19055696542153+0.0523862266714654j</v>
      </c>
      <c r="BA210" s="87">
        <f t="shared" si="141"/>
        <v>-14.083091931665518</v>
      </c>
      <c r="BB210" s="87">
        <f t="shared" si="142"/>
        <v>-15.371516140436768</v>
      </c>
      <c r="BD210" s="87" t="str">
        <f t="shared" si="143"/>
        <v>-0.187548059866487-0.127297893748064j</v>
      </c>
      <c r="BE210" s="87">
        <f t="shared" si="144"/>
        <v>-12.892141117415834</v>
      </c>
      <c r="BF210" s="87">
        <f t="shared" si="145"/>
        <v>34.166625966417655</v>
      </c>
      <c r="BH210" s="87">
        <f t="shared" si="152"/>
        <v>13.892141117415834</v>
      </c>
      <c r="BI210" s="107">
        <f t="shared" si="153"/>
        <v>-34.166625966417655</v>
      </c>
      <c r="BJ210" s="91"/>
      <c r="BK210" s="91"/>
      <c r="BL210" s="91"/>
      <c r="BM210" s="91"/>
      <c r="BN210" s="42"/>
      <c r="BO210" s="42"/>
      <c r="BP210" s="42"/>
    </row>
    <row r="211" spans="1:68" s="87" customFormat="1">
      <c r="A211" s="87">
        <v>147</v>
      </c>
      <c r="B211" s="87">
        <f t="shared" si="103"/>
        <v>87096.358995608098</v>
      </c>
      <c r="C211" s="87" t="str">
        <f t="shared" si="104"/>
        <v>547242.563150043j</v>
      </c>
      <c r="D211" s="87">
        <f t="shared" si="105"/>
        <v>0.850157516043618</v>
      </c>
      <c r="E211" s="87" t="str">
        <f t="shared" si="106"/>
        <v>-0.608047292388937j</v>
      </c>
      <c r="F211" s="87" t="str">
        <f t="shared" si="107"/>
        <v>0.850157516043618-0.608047292388937j</v>
      </c>
      <c r="G211" s="87">
        <f t="shared" si="108"/>
        <v>0.38417196837057188</v>
      </c>
      <c r="H211" s="87">
        <f t="shared" si="109"/>
        <v>-35.573002585279554</v>
      </c>
      <c r="J211" s="87">
        <f t="shared" si="110"/>
        <v>14.187192118226601</v>
      </c>
      <c r="K211" s="87" t="str">
        <f t="shared" si="111"/>
        <v>1+27.4031713497384j</v>
      </c>
      <c r="L211" s="87">
        <f t="shared" si="112"/>
        <v>-40.6642684459067</v>
      </c>
      <c r="M211" s="87" t="str">
        <f t="shared" si="113"/>
        <v>1.9664339295064j</v>
      </c>
      <c r="N211" s="87" t="str">
        <f t="shared" si="114"/>
        <v>-40.6642684459067+1.9664339295064j</v>
      </c>
      <c r="O211" s="87" t="str">
        <f t="shared" si="115"/>
        <v>0.00797747186217107-0.673502443916553j</v>
      </c>
      <c r="P211" s="87" t="str">
        <f t="shared" si="116"/>
        <v>0.113177925926368-9.55510856393927j</v>
      </c>
      <c r="R211" s="87">
        <f t="shared" si="117"/>
        <v>23.645320197044338</v>
      </c>
      <c r="S211" s="87" t="str">
        <f t="shared" si="118"/>
        <v>1+0.0410431922362532j</v>
      </c>
      <c r="T211" s="87" t="str">
        <f t="shared" si="119"/>
        <v>-40.6642684459067+1.9664339295064j</v>
      </c>
      <c r="U211" s="87" t="str">
        <f t="shared" si="120"/>
        <v>-0.0244855469205856-0.0021933851484888j</v>
      </c>
      <c r="V211" s="87" t="str">
        <f t="shared" si="121"/>
        <v>-0.578968597137-0.0518632941514593j</v>
      </c>
      <c r="X211" s="87" t="str">
        <f t="shared" si="122"/>
        <v>-0.434110307312861-0.622412631656966j</v>
      </c>
      <c r="Y211" s="87">
        <f t="shared" si="123"/>
        <v>-2.3969119977055438</v>
      </c>
      <c r="Z211" s="87">
        <f t="shared" si="124"/>
        <v>55.105620186155079</v>
      </c>
      <c r="AB211" s="87" t="str">
        <f t="shared" si="125"/>
        <v>-0.219940255639578-0.0197019773272494j</v>
      </c>
      <c r="AC211" s="87">
        <f t="shared" si="126"/>
        <v>-13.119195233523255</v>
      </c>
      <c r="AD211" s="87">
        <f t="shared" si="127"/>
        <v>5.1188228143601293</v>
      </c>
      <c r="AF211" s="87" t="str">
        <f t="shared" si="128"/>
        <v>-0.15855656431001-0.209209652191674j</v>
      </c>
      <c r="AG211" s="87">
        <f t="shared" si="129"/>
        <v>-11.617249180771672</v>
      </c>
      <c r="AH211" s="87">
        <f t="shared" si="130"/>
        <v>52.842108517920266</v>
      </c>
      <c r="AJ211" s="87" t="str">
        <f t="shared" si="131"/>
        <v>157488.30045023-1357.40274397131j</v>
      </c>
      <c r="AK211" s="87" t="str">
        <f t="shared" si="132"/>
        <v>30000-0.000492518306835039j</v>
      </c>
      <c r="AL211" s="87" t="str">
        <f t="shared" si="146"/>
        <v>10000-40607.6276200201j</v>
      </c>
      <c r="AM211" s="87" t="str">
        <f t="shared" si="147"/>
        <v>936.137585818714-12761.3550885345j</v>
      </c>
      <c r="AN211" s="87" t="str">
        <f t="shared" si="148"/>
        <v>10936.1375858187-12761.3550885345j</v>
      </c>
      <c r="AO211" s="87" t="str">
        <f t="shared" si="149"/>
        <v>9961.85558351646-6246.65373370542j</v>
      </c>
      <c r="AP211" s="87" t="str">
        <f t="shared" si="150"/>
        <v>0.160001597507089+0.0011583986481278j</v>
      </c>
      <c r="AQ211" s="87" t="str">
        <f t="shared" si="133"/>
        <v>1+74.8627826389259j</v>
      </c>
      <c r="AR211" s="87">
        <f t="shared" si="134"/>
        <v>-3.9968101055870372E-6</v>
      </c>
      <c r="AS211" s="87" t="str">
        <f t="shared" si="135"/>
        <v>0.00416658448246054j</v>
      </c>
      <c r="AT211" s="87" t="str">
        <f t="shared" si="136"/>
        <v>-3.99681010558704E-06+0.00416658448246054j</v>
      </c>
      <c r="AU211" s="87" t="str">
        <f t="shared" si="137"/>
        <v>5.39015264051886-0.0771719421261795j</v>
      </c>
      <c r="AW211" s="87" t="str">
        <f t="shared" si="151"/>
        <v>0.754630029589071-0.294895319344226j</v>
      </c>
      <c r="AX211" s="87">
        <f t="shared" si="138"/>
        <v>-1.8281175716513067</v>
      </c>
      <c r="AY211" s="87">
        <f t="shared" si="139"/>
        <v>158.65537034874913</v>
      </c>
      <c r="AZ211" s="87" t="str">
        <f t="shared" si="140"/>
        <v>-0.171783542516754+0.0499916481900585j</v>
      </c>
      <c r="BA211" s="87">
        <f t="shared" si="141"/>
        <v>-14.947312805174583</v>
      </c>
      <c r="BB211" s="87">
        <f t="shared" si="142"/>
        <v>-16.22580683689074</v>
      </c>
      <c r="BD211" s="87" t="str">
        <f t="shared" si="143"/>
        <v>-0.181346492009761-0.111118297357398j</v>
      </c>
      <c r="BE211" s="87">
        <f t="shared" si="144"/>
        <v>-13.445366752423036</v>
      </c>
      <c r="BF211" s="87">
        <f t="shared" si="145"/>
        <v>31.497478866669468</v>
      </c>
      <c r="BH211" s="87">
        <f t="shared" si="152"/>
        <v>14.445366752423036</v>
      </c>
      <c r="BI211" s="107">
        <f t="shared" si="153"/>
        <v>-31.497478866669468</v>
      </c>
      <c r="BJ211" s="91"/>
      <c r="BK211" s="91"/>
      <c r="BL211" s="91"/>
      <c r="BM211" s="91"/>
      <c r="BN211" s="42"/>
      <c r="BO211" s="42"/>
      <c r="BP211" s="42"/>
    </row>
    <row r="212" spans="1:68" s="87" customFormat="1">
      <c r="A212" s="87">
        <v>148</v>
      </c>
      <c r="B212" s="87">
        <f t="shared" si="103"/>
        <v>91201.083935590985</v>
      </c>
      <c r="C212" s="87" t="str">
        <f t="shared" si="104"/>
        <v>573033.310582957j</v>
      </c>
      <c r="D212" s="87">
        <f t="shared" si="105"/>
        <v>0.83570098348589217</v>
      </c>
      <c r="E212" s="87" t="str">
        <f t="shared" si="106"/>
        <v>-0.636703678425508j</v>
      </c>
      <c r="F212" s="87" t="str">
        <f t="shared" si="107"/>
        <v>0.835700983485892-0.636703678425508j</v>
      </c>
      <c r="G212" s="87">
        <f t="shared" si="108"/>
        <v>0.42885553334697779</v>
      </c>
      <c r="H212" s="87">
        <f t="shared" si="109"/>
        <v>-37.303042499479098</v>
      </c>
      <c r="J212" s="87">
        <f t="shared" si="110"/>
        <v>14.187192118226601</v>
      </c>
      <c r="K212" s="87" t="str">
        <f t="shared" si="111"/>
        <v>1+28.6946430274416j</v>
      </c>
      <c r="L212" s="87">
        <f t="shared" si="112"/>
        <v>-44.683961909193179</v>
      </c>
      <c r="M212" s="87" t="str">
        <f t="shared" si="113"/>
        <v>2.05910910544206j</v>
      </c>
      <c r="N212" s="87" t="str">
        <f t="shared" si="114"/>
        <v>-44.6839619091932+2.05910910544206j</v>
      </c>
      <c r="O212" s="87" t="str">
        <f t="shared" si="115"/>
        <v>0.00719749356041735-0.641837056910892j</v>
      </c>
      <c r="P212" s="87" t="str">
        <f t="shared" si="116"/>
        <v>0.10211222391134-9.10586563499197j</v>
      </c>
      <c r="R212" s="87">
        <f t="shared" si="117"/>
        <v>23.645320197044338</v>
      </c>
      <c r="S212" s="87" t="str">
        <f t="shared" si="118"/>
        <v>1+0.0429774982937218j</v>
      </c>
      <c r="T212" s="87" t="str">
        <f t="shared" si="119"/>
        <v>-44.6839619091932+2.05910910544206j</v>
      </c>
      <c r="U212" s="87" t="str">
        <f t="shared" si="120"/>
        <v>-0.0222877441069007-0.00198886560920015j</v>
      </c>
      <c r="V212" s="87" t="str">
        <f t="shared" si="121"/>
        <v>-0.527000845877455-0.0470273641584272j</v>
      </c>
      <c r="X212" s="87" t="str">
        <f t="shared" si="122"/>
        <v>-0.434008805092146-0.583104722264249j</v>
      </c>
      <c r="Y212" s="87">
        <f t="shared" si="123"/>
        <v>-2.7705793640940977</v>
      </c>
      <c r="Z212" s="87">
        <f t="shared" si="124"/>
        <v>53.339439443410939</v>
      </c>
      <c r="AB212" s="87" t="str">
        <f t="shared" si="125"/>
        <v>-0.200198596845718-0.0178648903346523j</v>
      </c>
      <c r="AC212" s="87">
        <f t="shared" si="126"/>
        <v>-13.936333357305369</v>
      </c>
      <c r="AD212" s="87">
        <f t="shared" si="127"/>
        <v>5.0993303615041157</v>
      </c>
      <c r="AF212" s="87" t="str">
        <f t="shared" si="128"/>
        <v>-0.155814987625457-0.192090171007522j</v>
      </c>
      <c r="AG212" s="87">
        <f t="shared" si="129"/>
        <v>-12.134122201399361</v>
      </c>
      <c r="AH212" s="87">
        <f t="shared" si="130"/>
        <v>50.952575412856135</v>
      </c>
      <c r="AJ212" s="87" t="str">
        <f t="shared" si="131"/>
        <v>157487.171790708-1421.36497795283j</v>
      </c>
      <c r="AK212" s="87" t="str">
        <f t="shared" si="132"/>
        <v>30000-0.000515729979524661j</v>
      </c>
      <c r="AL212" s="87" t="str">
        <f t="shared" si="146"/>
        <v>10000-38779.9833130383j</v>
      </c>
      <c r="AM212" s="87" t="str">
        <f t="shared" si="147"/>
        <v>933.612389193362-12201.1989241714j</v>
      </c>
      <c r="AN212" s="87" t="str">
        <f t="shared" si="148"/>
        <v>10933.6123891934-12201.1989241714j</v>
      </c>
      <c r="AO212" s="87" t="str">
        <f t="shared" si="149"/>
        <v>9807.25282481914-6018.90992048928j</v>
      </c>
      <c r="AP212" s="87" t="str">
        <f t="shared" si="150"/>
        <v>0.16000175163137+0.00121299207191373j</v>
      </c>
      <c r="AQ212" s="87" t="str">
        <f t="shared" si="133"/>
        <v>1+78.3909568877485j</v>
      </c>
      <c r="AR212" s="87">
        <f t="shared" si="134"/>
        <v>-4.3920629545152433E-6</v>
      </c>
      <c r="AS212" s="87" t="str">
        <f t="shared" si="135"/>
        <v>0.00436294955945031j</v>
      </c>
      <c r="AT212" s="87" t="str">
        <f t="shared" si="136"/>
        <v>-4.39206295451524E-06+0.00436294955945031j</v>
      </c>
      <c r="AU212" s="87" t="str">
        <f t="shared" si="137"/>
        <v>5.39015198598051-0.0741869422156719j</v>
      </c>
      <c r="AW212" s="87" t="str">
        <f t="shared" si="151"/>
        <v>0.745915995338408-0.304404657528584j</v>
      </c>
      <c r="AX212" s="87">
        <f t="shared" si="138"/>
        <v>-1.8771992695391964</v>
      </c>
      <c r="AY212" s="87">
        <f t="shared" si="139"/>
        <v>157.79986973183355</v>
      </c>
      <c r="AZ212" s="87" t="str">
        <f t="shared" si="140"/>
        <v>-0.154769491455632+0.0476156778549401j</v>
      </c>
      <c r="BA212" s="87">
        <f t="shared" si="141"/>
        <v>-15.813532626844564</v>
      </c>
      <c r="BB212" s="87">
        <f t="shared" si="142"/>
        <v>-17.100799906662274</v>
      </c>
      <c r="BD212" s="87" t="str">
        <f t="shared" si="143"/>
        <v>-0.174698034303436-0.0958523231558534j</v>
      </c>
      <c r="BE212" s="87">
        <f t="shared" si="144"/>
        <v>-14.011321470938558</v>
      </c>
      <c r="BF212" s="87">
        <f t="shared" si="145"/>
        <v>28.752445144689858</v>
      </c>
      <c r="BH212" s="87">
        <f t="shared" si="152"/>
        <v>15.011321470938558</v>
      </c>
      <c r="BI212" s="107">
        <f t="shared" si="153"/>
        <v>-28.752445144689858</v>
      </c>
      <c r="BJ212" s="91"/>
      <c r="BK212" s="91"/>
      <c r="BL212" s="91"/>
      <c r="BM212" s="91"/>
      <c r="BN212" s="42"/>
      <c r="BO212" s="42"/>
      <c r="BP212" s="42"/>
    </row>
    <row r="213" spans="1:68" s="87" customFormat="1">
      <c r="A213" s="87">
        <v>149</v>
      </c>
      <c r="B213" s="87">
        <f t="shared" si="103"/>
        <v>95499.258602143673</v>
      </c>
      <c r="C213" s="87" t="str">
        <f t="shared" si="104"/>
        <v>600039.538495533j</v>
      </c>
      <c r="D213" s="87">
        <f t="shared" si="105"/>
        <v>0.8198497107445113</v>
      </c>
      <c r="E213" s="87" t="str">
        <f t="shared" si="106"/>
        <v>-0.66671059832837j</v>
      </c>
      <c r="F213" s="87" t="str">
        <f t="shared" si="107"/>
        <v>0.819849710744511-0.66671059832837j</v>
      </c>
      <c r="G213" s="87">
        <f t="shared" si="108"/>
        <v>0.47919625550511818</v>
      </c>
      <c r="H213" s="87">
        <f t="shared" si="109"/>
        <v>-39.118379966035768</v>
      </c>
      <c r="J213" s="87">
        <f t="shared" si="110"/>
        <v>14.187192118226601</v>
      </c>
      <c r="K213" s="87" t="str">
        <f t="shared" si="111"/>
        <v>1+30.0469798901638j</v>
      </c>
      <c r="L213" s="87">
        <f t="shared" si="112"/>
        <v>-49.091468146866212</v>
      </c>
      <c r="M213" s="87" t="str">
        <f t="shared" si="113"/>
        <v>2.15615192785993j</v>
      </c>
      <c r="N213" s="87" t="str">
        <f t="shared" si="114"/>
        <v>-49.0914681468662+2.15615192785993j</v>
      </c>
      <c r="O213" s="87" t="str">
        <f t="shared" si="115"/>
        <v>0.00649972974477677-0.611775663247529j</v>
      </c>
      <c r="P213" s="87" t="str">
        <f t="shared" si="116"/>
        <v>0.0922129146057-8.67937886774819j</v>
      </c>
      <c r="R213" s="87">
        <f t="shared" si="117"/>
        <v>23.645320197044338</v>
      </c>
      <c r="S213" s="87" t="str">
        <f t="shared" si="118"/>
        <v>1+0.045002965387165j</v>
      </c>
      <c r="T213" s="87" t="str">
        <f t="shared" si="119"/>
        <v>-49.0914681468662+2.15615192785993j</v>
      </c>
      <c r="U213" s="87" t="str">
        <f t="shared" si="120"/>
        <v>-0.02029073305031-0.00180790821545124j</v>
      </c>
      <c r="V213" s="87" t="str">
        <f t="shared" si="121"/>
        <v>-0.47978088000733-0.0427485686412116j</v>
      </c>
      <c r="X213" s="87" t="str">
        <f t="shared" si="122"/>
        <v>-0.433904739032736-0.545304057810436j</v>
      </c>
      <c r="Y213" s="87">
        <f t="shared" si="123"/>
        <v>-3.1369463723519697</v>
      </c>
      <c r="Z213" s="87">
        <f t="shared" si="124"/>
        <v>51.49032857466463</v>
      </c>
      <c r="AB213" s="87" t="str">
        <f t="shared" si="125"/>
        <v>-0.182260540418955-0.0162394491888984j</v>
      </c>
      <c r="AC213" s="87">
        <f t="shared" si="126"/>
        <v>-14.751805101775917</v>
      </c>
      <c r="AD213" s="87">
        <f t="shared" si="127"/>
        <v>5.0916195174587813</v>
      </c>
      <c r="AF213" s="87" t="str">
        <f t="shared" si="128"/>
        <v>-0.152667986953674-0.175747667985231j</v>
      </c>
      <c r="AG213" s="87">
        <f t="shared" si="129"/>
        <v>-12.660427263314842</v>
      </c>
      <c r="AH213" s="87">
        <f t="shared" si="130"/>
        <v>49.019899175657741</v>
      </c>
      <c r="AJ213" s="87" t="str">
        <f t="shared" si="131"/>
        <v>157485.934258745-1488.34015016644j</v>
      </c>
      <c r="AK213" s="87" t="str">
        <f t="shared" si="132"/>
        <v>30000-0.00054003558464598j</v>
      </c>
      <c r="AL213" s="87" t="str">
        <f t="shared" si="146"/>
        <v>10000-37034.5965499866j</v>
      </c>
      <c r="AM213" s="87" t="str">
        <f t="shared" si="147"/>
        <v>930.859178149239-11666.8393018906j</v>
      </c>
      <c r="AN213" s="87" t="str">
        <f t="shared" si="148"/>
        <v>10930.8591781492-11666.8393018906j</v>
      </c>
      <c r="AO213" s="87" t="str">
        <f t="shared" si="149"/>
        <v>9663.93452216692-5796.54601468632j</v>
      </c>
      <c r="AP213" s="87" t="str">
        <f t="shared" si="150"/>
        <v>0.160001920625219+0.00127015837152218j</v>
      </c>
      <c r="AQ213" s="87" t="str">
        <f t="shared" si="133"/>
        <v>1+82.0854088661889j</v>
      </c>
      <c r="AR213" s="87">
        <f t="shared" si="134"/>
        <v>-4.8254490853285095E-6</v>
      </c>
      <c r="AS213" s="87" t="str">
        <f t="shared" si="135"/>
        <v>0.00456856903740652j</v>
      </c>
      <c r="AT213" s="87" t="str">
        <f t="shared" si="136"/>
        <v>-4.82544908532851E-06+0.00456856903740652j</v>
      </c>
      <c r="AU213" s="87" t="str">
        <f t="shared" si="137"/>
        <v>5.3901512962917-0.0713593026554202j</v>
      </c>
      <c r="AW213" s="87" t="str">
        <f t="shared" si="151"/>
        <v>0.736583005904899-0.314005330173072j</v>
      </c>
      <c r="AX213" s="87">
        <f t="shared" si="138"/>
        <v>-1.930377306592711</v>
      </c>
      <c r="AY213" s="87">
        <f t="shared" si="139"/>
        <v>156.91144881911234</v>
      </c>
      <c r="AZ213" s="87" t="str">
        <f t="shared" si="140"/>
        <v>-0.139349290324034+0.0452690788739777j</v>
      </c>
      <c r="BA213" s="87">
        <f t="shared" si="141"/>
        <v>-16.682182408368636</v>
      </c>
      <c r="BB213" s="87">
        <f t="shared" si="142"/>
        <v>-17.996931663428853</v>
      </c>
      <c r="BD213" s="87" t="str">
        <f t="shared" si="143"/>
        <v>-0.167638349248637-0.0815141839150913j</v>
      </c>
      <c r="BE213" s="87">
        <f t="shared" si="144"/>
        <v>-14.590804569907547</v>
      </c>
      <c r="BF213" s="87">
        <f t="shared" si="145"/>
        <v>25.931347994770164</v>
      </c>
      <c r="BH213" s="87">
        <f t="shared" si="152"/>
        <v>15.590804569907547</v>
      </c>
      <c r="BI213" s="107">
        <f t="shared" si="153"/>
        <v>-25.931347994770164</v>
      </c>
      <c r="BJ213" s="91"/>
      <c r="BK213" s="91"/>
      <c r="BL213" s="91"/>
      <c r="BM213" s="91"/>
      <c r="BN213" s="42"/>
      <c r="BO213" s="42"/>
      <c r="BP213" s="42"/>
    </row>
    <row r="214" spans="1:68" s="87" customFormat="1">
      <c r="A214" s="87">
        <v>150</v>
      </c>
      <c r="B214" s="87">
        <f t="shared" si="103"/>
        <v>100000</v>
      </c>
      <c r="C214" s="87" t="str">
        <f t="shared" si="104"/>
        <v>628318.530717959j</v>
      </c>
      <c r="D214" s="87">
        <f t="shared" si="105"/>
        <v>0.8024691358024687</v>
      </c>
      <c r="E214" s="87" t="str">
        <f t="shared" si="106"/>
        <v>-0.698131700797732j</v>
      </c>
      <c r="F214" s="87" t="str">
        <f t="shared" si="107"/>
        <v>0.802469135802469-0.698131700797732j</v>
      </c>
      <c r="G214" s="87">
        <f t="shared" si="108"/>
        <v>0.53594902733288252</v>
      </c>
      <c r="H214" s="87">
        <f t="shared" si="109"/>
        <v>-41.022600607740721</v>
      </c>
      <c r="J214" s="87">
        <f t="shared" si="110"/>
        <v>14.187192118226601</v>
      </c>
      <c r="K214" s="87" t="str">
        <f t="shared" si="111"/>
        <v>1+31.4630504257018j</v>
      </c>
      <c r="L214" s="87">
        <f t="shared" si="112"/>
        <v>-53.924202635839684</v>
      </c>
      <c r="M214" s="87" t="str">
        <f t="shared" si="113"/>
        <v>2.25776823759712j</v>
      </c>
      <c r="N214" s="87" t="str">
        <f t="shared" si="114"/>
        <v>-53.9242026358397+2.25776823759712j</v>
      </c>
      <c r="O214" s="87" t="str">
        <f t="shared" si="115"/>
        <v>0.00587454857373341-0.583222106572593j</v>
      </c>
      <c r="P214" s="87" t="str">
        <f t="shared" si="116"/>
        <v>0.08334334922341-8.27428407354221j</v>
      </c>
      <c r="R214" s="87">
        <f t="shared" si="117"/>
        <v>23.645320197044338</v>
      </c>
      <c r="S214" s="87" t="str">
        <f t="shared" si="118"/>
        <v>1+0.0471238898038469j</v>
      </c>
      <c r="T214" s="87" t="str">
        <f t="shared" si="119"/>
        <v>-53.9242026358397+2.25776823759712j</v>
      </c>
      <c r="U214" s="87" t="str">
        <f t="shared" si="120"/>
        <v>-0.018475571082966-0.00164745036595852j</v>
      </c>
      <c r="V214" s="87" t="str">
        <f t="shared" si="121"/>
        <v>-0.436860794079984-0.0389544914118271j</v>
      </c>
      <c r="X214" s="87" t="str">
        <f t="shared" si="122"/>
        <v>-0.433800377688951-0.508894308368758j</v>
      </c>
      <c r="Y214" s="87">
        <f t="shared" si="123"/>
        <v>-3.495407579916523</v>
      </c>
      <c r="Z214" s="87">
        <f t="shared" si="124"/>
        <v>49.554495928406538</v>
      </c>
      <c r="AB214" s="87" t="str">
        <f t="shared" si="125"/>
        <v>-0.165955934750162-0.0147981442202463j</v>
      </c>
      <c r="AC214" s="87">
        <f t="shared" si="126"/>
        <v>-15.5657494763219</v>
      </c>
      <c r="AD214" s="87">
        <f t="shared" si="127"/>
        <v>5.0955375069056572</v>
      </c>
      <c r="AF214" s="87" t="str">
        <f t="shared" si="128"/>
        <v>-0.149137583436843-0.160179215989132j</v>
      </c>
      <c r="AG214" s="87">
        <f t="shared" si="129"/>
        <v>-13.196699263775375</v>
      </c>
      <c r="AH214" s="87">
        <f t="shared" si="130"/>
        <v>47.044410242764144</v>
      </c>
      <c r="AJ214" s="87" t="str">
        <f t="shared" si="131"/>
        <v>157484.577354284-1558.47003250023j</v>
      </c>
      <c r="AK214" s="87" t="str">
        <f t="shared" si="132"/>
        <v>30000-0.000565486677646164j</v>
      </c>
      <c r="AL214" s="87" t="str">
        <f t="shared" si="146"/>
        <v>10000-35367.7651315322j</v>
      </c>
      <c r="AM214" s="87" t="str">
        <f t="shared" si="147"/>
        <v>927.858946029806-11157.1312038254j</v>
      </c>
      <c r="AN214" s="87" t="str">
        <f t="shared" si="148"/>
        <v>10927.8589460298-11157.1312038254j</v>
      </c>
      <c r="AO214" s="87" t="str">
        <f t="shared" si="149"/>
        <v>9531.19450192437-5579.89484909425j</v>
      </c>
      <c r="AP214" s="87" t="str">
        <f t="shared" si="150"/>
        <v>0.160002105923211+0.00133001879796987j</v>
      </c>
      <c r="AQ214" s="87" t="str">
        <f t="shared" si="133"/>
        <v>1+85.9539750022168j</v>
      </c>
      <c r="AR214" s="87">
        <f t="shared" si="134"/>
        <v>-5.3006475282761066E-6</v>
      </c>
      <c r="AS214" s="87" t="str">
        <f t="shared" si="135"/>
        <v>0.00478387906280978j</v>
      </c>
      <c r="AT214" s="87" t="str">
        <f t="shared" si="136"/>
        <v>-5.30064752827611E-06+0.00478387906280978j</v>
      </c>
      <c r="AU214" s="87" t="str">
        <f t="shared" si="137"/>
        <v>5.39015056559766-0.0686830256280741j</v>
      </c>
      <c r="AW214" s="87" t="str">
        <f t="shared" si="151"/>
        <v>0.726606590582478-0.323658509551955j</v>
      </c>
      <c r="AX214" s="87">
        <f t="shared" si="138"/>
        <v>-1.9879395041483798</v>
      </c>
      <c r="AY214" s="87">
        <f t="shared" si="139"/>
        <v>155.98997070670742</v>
      </c>
      <c r="AZ214" s="87" t="str">
        <f t="shared" si="140"/>
        <v>-0.125374221238203+0.0429606213737179j</v>
      </c>
      <c r="BA214" s="87">
        <f t="shared" si="141"/>
        <v>-17.553688980470291</v>
      </c>
      <c r="BB214" s="87">
        <f t="shared" si="142"/>
        <v>-18.914491786386918</v>
      </c>
      <c r="BD214" s="87" t="str">
        <f t="shared" si="143"/>
        <v>-0.160207717336997-0.0681176260386884j</v>
      </c>
      <c r="BE214" s="87">
        <f t="shared" si="144"/>
        <v>-15.184638767923779</v>
      </c>
      <c r="BF214" s="87">
        <f t="shared" si="145"/>
        <v>23.034380949471569</v>
      </c>
      <c r="BH214" s="87">
        <f t="shared" si="152"/>
        <v>16.184638767923779</v>
      </c>
      <c r="BI214" s="107">
        <f t="shared" si="153"/>
        <v>-23.034380949471569</v>
      </c>
      <c r="BJ214" s="91"/>
      <c r="BK214" s="91"/>
      <c r="BL214" s="91"/>
      <c r="BM214" s="91"/>
      <c r="BN214" s="42"/>
      <c r="BO214" s="42"/>
      <c r="BP214" s="42"/>
    </row>
    <row r="215" spans="1:68" s="87" customFormat="1">
      <c r="A215" s="87">
        <v>151</v>
      </c>
      <c r="B215" s="87">
        <f t="shared" si="103"/>
        <v>104712.85480509</v>
      </c>
      <c r="C215" s="87" t="str">
        <f t="shared" si="104"/>
        <v>657930.270784171j</v>
      </c>
      <c r="D215" s="87">
        <f t="shared" si="105"/>
        <v>0.78341171434208634</v>
      </c>
      <c r="E215" s="87" t="str">
        <f t="shared" si="106"/>
        <v>-0.731033634204634j</v>
      </c>
      <c r="F215" s="87" t="str">
        <f t="shared" si="107"/>
        <v>0.783411714342086-0.731033634204634j</v>
      </c>
      <c r="G215" s="87">
        <f t="shared" si="108"/>
        <v>0.59996394086922411</v>
      </c>
      <c r="H215" s="87">
        <f t="shared" si="109"/>
        <v>-43.019177642410057</v>
      </c>
      <c r="J215" s="87">
        <f t="shared" si="110"/>
        <v>14.187192118226601</v>
      </c>
      <c r="K215" s="87" t="str">
        <f t="shared" si="111"/>
        <v>1+32.9458583095174j</v>
      </c>
      <c r="L215" s="87">
        <f t="shared" si="112"/>
        <v>-59.223190630748299</v>
      </c>
      <c r="M215" s="87" t="str">
        <f t="shared" si="113"/>
        <v>2.36417357647051j</v>
      </c>
      <c r="N215" s="87" t="str">
        <f t="shared" si="114"/>
        <v>-59.2231906307483+2.36417357647051j</v>
      </c>
      <c r="O215" s="87" t="str">
        <f t="shared" si="115"/>
        <v>0.00531359708417212-0.556087838107733j</v>
      </c>
      <c r="P215" s="87" t="str">
        <f t="shared" si="116"/>
        <v>0.0753850226719986-7.8893249938437j</v>
      </c>
      <c r="R215" s="87">
        <f t="shared" si="117"/>
        <v>23.645320197044338</v>
      </c>
      <c r="S215" s="87" t="str">
        <f t="shared" si="118"/>
        <v>1+0.0493447703088128j</v>
      </c>
      <c r="T215" s="87" t="str">
        <f t="shared" si="119"/>
        <v>-59.2231906307483+2.36417357647051j</v>
      </c>
      <c r="U215" s="87" t="str">
        <f t="shared" si="120"/>
        <v>-0.016825203854218-0.00150485767028926j</v>
      </c>
      <c r="V215" s="87" t="str">
        <f t="shared" si="121"/>
        <v>-0.397837332513529-0.0355828414649677j</v>
      </c>
      <c r="X215" s="87" t="str">
        <f t="shared" si="122"/>
        <v>-0.433697419104746-0.473767023693805j</v>
      </c>
      <c r="Y215" s="87">
        <f t="shared" si="123"/>
        <v>-3.8452483594064537</v>
      </c>
      <c r="Z215" s="87">
        <f t="shared" si="124"/>
        <v>47.528285187837184</v>
      </c>
      <c r="AB215" s="87" t="str">
        <f t="shared" si="125"/>
        <v>-0.151131589949236-0.0135173121424679j</v>
      </c>
      <c r="AC215" s="87">
        <f t="shared" si="126"/>
        <v>-16.37829122504327</v>
      </c>
      <c r="AD215" s="87">
        <f t="shared" si="127"/>
        <v>5.1109737786181881</v>
      </c>
      <c r="AF215" s="87" t="str">
        <f t="shared" si="128"/>
        <v>-0.145247362943488-0.145382920299292j</v>
      </c>
      <c r="AG215" s="87">
        <f t="shared" si="129"/>
        <v>-13.743481708657059</v>
      </c>
      <c r="AH215" s="87">
        <f t="shared" si="130"/>
        <v>45.026724206850105</v>
      </c>
      <c r="AJ215" s="87" t="str">
        <f t="shared" si="131"/>
        <v>157483.089565004-1631.90304524254j</v>
      </c>
      <c r="AK215" s="87" t="str">
        <f t="shared" si="132"/>
        <v>30000-0.000592137243705753j</v>
      </c>
      <c r="AL215" s="87" t="str">
        <f t="shared" si="146"/>
        <v>10000-33775.9534847608j</v>
      </c>
      <c r="AM215" s="87" t="str">
        <f t="shared" si="147"/>
        <v>924.59140744975-10670.9803944297j</v>
      </c>
      <c r="AN215" s="87" t="str">
        <f t="shared" si="148"/>
        <v>10924.5914074498-10670.9803944297j</v>
      </c>
      <c r="AO215" s="87" t="str">
        <f t="shared" si="149"/>
        <v>9408.34291534189-5369.22086159261j</v>
      </c>
      <c r="AP215" s="87" t="str">
        <f t="shared" si="150"/>
        <v>0.160002309098325+0.00139270031593407j</v>
      </c>
      <c r="AQ215" s="87" t="str">
        <f t="shared" si="133"/>
        <v>1+90.0048610432746j</v>
      </c>
      <c r="AR215" s="87">
        <f t="shared" si="134"/>
        <v>-5.8216922598093405E-6</v>
      </c>
      <c r="AS215" s="87" t="str">
        <f t="shared" si="135"/>
        <v>0.00500933633709111j</v>
      </c>
      <c r="AT215" s="87" t="str">
        <f t="shared" si="136"/>
        <v>-5.82169225980934E-06+0.00500933633709111j</v>
      </c>
      <c r="AU215" s="87" t="str">
        <f t="shared" si="137"/>
        <v>5.39014978769553-0.0661524343743048j</v>
      </c>
      <c r="AW215" s="87" t="str">
        <f t="shared" si="151"/>
        <v>0.715964618726786-0.333321212943447j</v>
      </c>
      <c r="AX215" s="87">
        <f t="shared" si="138"/>
        <v>-2.0501843039317587</v>
      </c>
      <c r="AY215" s="87">
        <f t="shared" si="139"/>
        <v>155.03541205626189</v>
      </c>
      <c r="AZ215" s="87" t="str">
        <f t="shared" si="140"/>
        <v>-0.11271047805464+0.0406974476416579j</v>
      </c>
      <c r="BA215" s="87">
        <f t="shared" si="141"/>
        <v>-18.428475528975053</v>
      </c>
      <c r="BB215" s="87">
        <f t="shared" si="142"/>
        <v>-19.853614165119922</v>
      </c>
      <c r="BD215" s="87" t="str">
        <f t="shared" si="143"/>
        <v>-0.152451184166325-0.0556749999083086j</v>
      </c>
      <c r="BE215" s="87">
        <f t="shared" si="144"/>
        <v>-15.793666012588869</v>
      </c>
      <c r="BF215" s="87">
        <f t="shared" si="145"/>
        <v>20.062136263112052</v>
      </c>
      <c r="BH215" s="87">
        <f t="shared" si="152"/>
        <v>16.793666012588869</v>
      </c>
      <c r="BI215" s="107">
        <f t="shared" si="153"/>
        <v>-20.062136263112052</v>
      </c>
      <c r="BJ215" s="91"/>
      <c r="BK215" s="91"/>
      <c r="BL215" s="91"/>
      <c r="BM215" s="91"/>
      <c r="BN215" s="42"/>
      <c r="BO215" s="42"/>
      <c r="BP215" s="42"/>
    </row>
    <row r="216" spans="1:68" s="87" customFormat="1">
      <c r="A216" s="87">
        <v>152</v>
      </c>
      <c r="B216" s="87">
        <f t="shared" si="103"/>
        <v>109647.81961431864</v>
      </c>
      <c r="C216" s="87" t="str">
        <f t="shared" si="104"/>
        <v>688937.569164964j</v>
      </c>
      <c r="D216" s="87">
        <f t="shared" si="105"/>
        <v>0.76251566723606612</v>
      </c>
      <c r="E216" s="87" t="str">
        <f t="shared" si="106"/>
        <v>-0.765486187961071j</v>
      </c>
      <c r="F216" s="87" t="str">
        <f t="shared" si="107"/>
        <v>0.762515667236066-0.765486187961071j</v>
      </c>
      <c r="G216" s="87">
        <f t="shared" si="108"/>
        <v>0.67219408747204901</v>
      </c>
      <c r="H216" s="87">
        <f t="shared" si="109"/>
        <v>-45.111386046756024</v>
      </c>
      <c r="J216" s="87">
        <f t="shared" si="110"/>
        <v>14.187192118226601</v>
      </c>
      <c r="K216" s="87" t="str">
        <f t="shared" si="111"/>
        <v>1+34.4985487759356j</v>
      </c>
      <c r="L216" s="87">
        <f t="shared" si="112"/>
        <v>-65.033415428790022</v>
      </c>
      <c r="M216" s="87" t="str">
        <f t="shared" si="113"/>
        <v>2.47559364446987j</v>
      </c>
      <c r="N216" s="87" t="str">
        <f t="shared" si="114"/>
        <v>-65.03341542879+2.47559364446987j</v>
      </c>
      <c r="O216" s="87" t="str">
        <f t="shared" si="115"/>
        <v>0.00480960907173074-0.530291111283357j</v>
      </c>
      <c r="P216" s="87" t="str">
        <f t="shared" si="116"/>
        <v>0.0682348479142095-7.52334187436487j</v>
      </c>
      <c r="R216" s="87">
        <f t="shared" si="117"/>
        <v>23.645320197044338</v>
      </c>
      <c r="S216" s="87" t="str">
        <f t="shared" si="118"/>
        <v>1+0.0516703176873723j</v>
      </c>
      <c r="T216" s="87" t="str">
        <f t="shared" si="119"/>
        <v>-65.03341542879+2.47559364446987j</v>
      </c>
      <c r="U216" s="87" t="str">
        <f t="shared" si="120"/>
        <v>-0.015324260171841-0.00137786026128525j</v>
      </c>
      <c r="V216" s="87" t="str">
        <f t="shared" si="121"/>
        <v>-0.362347038545994-0.0325799470648729j</v>
      </c>
      <c r="X216" s="87" t="str">
        <f t="shared" si="122"/>
        <v>-0.433597110250794-0.439820710984686j</v>
      </c>
      <c r="Y216" s="87">
        <f t="shared" si="123"/>
        <v>-4.1856384739998767</v>
      </c>
      <c r="Z216" s="87">
        <f t="shared" si="124"/>
        <v>45.408258237774533</v>
      </c>
      <c r="AB216" s="87" t="str">
        <f t="shared" si="125"/>
        <v>-0.137649435016234-0.012376563982237j</v>
      </c>
      <c r="AC216" s="87">
        <f t="shared" si="126"/>
        <v>-17.189542112824586</v>
      </c>
      <c r="AD216" s="87">
        <f t="shared" si="127"/>
        <v>5.1378571370663337</v>
      </c>
      <c r="AF216" s="87" t="str">
        <f t="shared" si="128"/>
        <v>-0.141022722831535-0.131357518737136j</v>
      </c>
      <c r="AG216" s="87">
        <f t="shared" si="129"/>
        <v>-14.301323046490371</v>
      </c>
      <c r="AH216" s="87">
        <f t="shared" si="130"/>
        <v>42.96775584836422</v>
      </c>
      <c r="AJ216" s="87" t="str">
        <f t="shared" si="131"/>
        <v>157481.458268807-1708.79456551019j</v>
      </c>
      <c r="AK216" s="87" t="str">
        <f t="shared" si="132"/>
        <v>30000-0.000620043812248467j</v>
      </c>
      <c r="AL216" s="87" t="str">
        <f t="shared" si="146"/>
        <v>10000-32255.7851637514j</v>
      </c>
      <c r="AM216" s="87" t="str">
        <f t="shared" si="147"/>
        <v>921.034972367857-10207.3409251232j</v>
      </c>
      <c r="AN216" s="87" t="str">
        <f t="shared" si="148"/>
        <v>10921.0349723679-10207.3409251232j</v>
      </c>
      <c r="AO216" s="87" t="str">
        <f t="shared" si="149"/>
        <v>9294.71040402619-5164.72643007724j</v>
      </c>
      <c r="AP216" s="87" t="str">
        <f t="shared" si="150"/>
        <v>0.160002531875294+0.00145833587292206j</v>
      </c>
      <c r="AQ216" s="87" t="str">
        <f t="shared" si="133"/>
        <v>1+94.2466594617671j</v>
      </c>
      <c r="AR216" s="87">
        <f t="shared" si="134"/>
        <v>-6.393006447150803E-6</v>
      </c>
      <c r="AS216" s="87" t="str">
        <f t="shared" si="135"/>
        <v>0.00524541908535682j</v>
      </c>
      <c r="AT216" s="87" t="str">
        <f t="shared" si="136"/>
        <v>-0.0000063930064471508+0.00524541908535682j</v>
      </c>
      <c r="AU216" s="87" t="str">
        <f t="shared" si="137"/>
        <v>5.39014895598174-0.0637621611513129j</v>
      </c>
      <c r="AW216" s="87" t="str">
        <f t="shared" si="151"/>
        <v>0.704637925625193-0.342946326631258j</v>
      </c>
      <c r="AX216" s="87">
        <f t="shared" si="138"/>
        <v>-2.1174195759427974</v>
      </c>
      <c r="AY216" s="87">
        <f t="shared" si="139"/>
        <v>154.04787567405114</v>
      </c>
      <c r="AZ216" s="87" t="str">
        <f t="shared" si="140"/>
        <v>-0.101237509507344+0.0384853717308747j</v>
      </c>
      <c r="BA216" s="87">
        <f t="shared" si="141"/>
        <v>-19.306961688767366</v>
      </c>
      <c r="BB216" s="87">
        <f t="shared" si="142"/>
        <v>-20.814267188882582</v>
      </c>
      <c r="BD216" s="87" t="str">
        <f t="shared" si="143"/>
        <v>-0.144418537408327-0.0441962647515946j</v>
      </c>
      <c r="BE216" s="87">
        <f t="shared" si="144"/>
        <v>-16.418742622433161</v>
      </c>
      <c r="BF216" s="87">
        <f t="shared" si="145"/>
        <v>17.015631522415219</v>
      </c>
      <c r="BH216" s="87">
        <f t="shared" si="152"/>
        <v>17.418742622433161</v>
      </c>
      <c r="BI216" s="107">
        <f t="shared" si="153"/>
        <v>-17.015631522415219</v>
      </c>
      <c r="BJ216" s="91"/>
      <c r="BK216" s="91"/>
      <c r="BL216" s="91"/>
      <c r="BM216" s="91"/>
      <c r="BN216" s="42"/>
      <c r="BO216" s="42"/>
      <c r="BP216" s="42"/>
    </row>
    <row r="217" spans="1:68" s="87" customFormat="1">
      <c r="A217" s="87">
        <v>153</v>
      </c>
      <c r="B217" s="87">
        <f t="shared" si="103"/>
        <v>114815.3621496884</v>
      </c>
      <c r="C217" s="87" t="str">
        <f t="shared" si="104"/>
        <v>721406.196497425j</v>
      </c>
      <c r="D217" s="87">
        <f t="shared" si="105"/>
        <v>0.73960360719873419</v>
      </c>
      <c r="E217" s="87" t="str">
        <f t="shared" si="106"/>
        <v>-0.801562440552694j</v>
      </c>
      <c r="F217" s="87" t="str">
        <f t="shared" si="107"/>
        <v>0.739603607198734-0.801562440552694j</v>
      </c>
      <c r="G217" s="87">
        <f t="shared" si="108"/>
        <v>0.75370230314380149</v>
      </c>
      <c r="H217" s="87">
        <f t="shared" si="109"/>
        <v>-47.302197719100334</v>
      </c>
      <c r="J217" s="87">
        <f t="shared" si="110"/>
        <v>14.187192118226601</v>
      </c>
      <c r="K217" s="87" t="str">
        <f t="shared" si="111"/>
        <v>1+36.1244152896086j</v>
      </c>
      <c r="L217" s="87">
        <f t="shared" si="112"/>
        <v>-71.40420023453315</v>
      </c>
      <c r="M217" s="87" t="str">
        <f t="shared" si="113"/>
        <v>2.59226477849777j</v>
      </c>
      <c r="N217" s="87" t="str">
        <f t="shared" si="114"/>
        <v>-71.4042002345331+2.59226477849777j</v>
      </c>
      <c r="O217" s="87" t="str">
        <f t="shared" si="115"/>
        <v>0.00435624504410123-0.5057562808686j</v>
      </c>
      <c r="P217" s="87" t="str">
        <f t="shared" si="116"/>
        <v>0.0618028853547367-7.1752615216826j</v>
      </c>
      <c r="R217" s="87">
        <f t="shared" si="117"/>
        <v>23.645320197044338</v>
      </c>
      <c r="S217" s="87" t="str">
        <f t="shared" si="118"/>
        <v>1+0.0541054647373069j</v>
      </c>
      <c r="T217" s="87" t="str">
        <f t="shared" si="119"/>
        <v>-71.4042002345331+2.59226477849777j</v>
      </c>
      <c r="U217" s="87" t="str">
        <f t="shared" si="120"/>
        <v>-0.0139588718855917-0.00126449923642198j</v>
      </c>
      <c r="V217" s="87" t="str">
        <f t="shared" si="121"/>
        <v>-0.330061995324336-0.0298994893341158j</v>
      </c>
      <c r="X217" s="87" t="str">
        <f t="shared" si="122"/>
        <v>-0.433500342566627-0.406960028741682j</v>
      </c>
      <c r="Y217" s="87">
        <f t="shared" si="123"/>
        <v>-4.5156265609341881</v>
      </c>
      <c r="Z217" s="87">
        <f t="shared" si="124"/>
        <v>43.191297454057832</v>
      </c>
      <c r="AB217" s="87" t="str">
        <f t="shared" si="125"/>
        <v>-0.125384899954023-0.0113583039911959j</v>
      </c>
      <c r="AC217" s="87">
        <f t="shared" si="126"/>
        <v>-17.999602062197702</v>
      </c>
      <c r="AD217" s="87">
        <f t="shared" si="127"/>
        <v>5.1761533207103412</v>
      </c>
      <c r="AF217" s="87" t="str">
        <f t="shared" si="128"/>
        <v>-0.136491050109826-0.118101934906716j</v>
      </c>
      <c r="AG217" s="87">
        <f t="shared" si="129"/>
        <v>-14.870772635489011</v>
      </c>
      <c r="AH217" s="87">
        <f t="shared" si="130"/>
        <v>40.868730916694375</v>
      </c>
      <c r="AJ217" s="87" t="str">
        <f t="shared" si="131"/>
        <v>157479.669626939-1789.30724948704j</v>
      </c>
      <c r="AK217" s="87" t="str">
        <f t="shared" si="132"/>
        <v>30000-0.000649265576847684j</v>
      </c>
      <c r="AL217" s="87" t="str">
        <f t="shared" si="146"/>
        <v>10000-30804.0356876829j</v>
      </c>
      <c r="AM217" s="87" t="str">
        <f t="shared" si="147"/>
        <v>917.166733125317-9765.21272653885j</v>
      </c>
      <c r="AN217" s="87" t="str">
        <f t="shared" si="148"/>
        <v>10917.1667331253-9765.21272653885j</v>
      </c>
      <c r="AO217" s="87" t="str">
        <f t="shared" si="149"/>
        <v>9189.65130275771-4966.5580314758j</v>
      </c>
      <c r="AP217" s="87" t="str">
        <f t="shared" si="150"/>
        <v>0.160002776145248+0.00152706468110996j</v>
      </c>
      <c r="AQ217" s="87" t="str">
        <f t="shared" si="133"/>
        <v>1+98.6883676808477j</v>
      </c>
      <c r="AR217" s="87">
        <f t="shared" si="134"/>
        <v>-7.0194399967179721E-6</v>
      </c>
      <c r="AS217" s="87" t="str">
        <f t="shared" si="135"/>
        <v>0.00549262807076817j</v>
      </c>
      <c r="AT217" s="87" t="str">
        <f t="shared" si="136"/>
        <v>-7.01943999671797E-06+0.00549262807076817j</v>
      </c>
      <c r="AU217" s="87" t="str">
        <f t="shared" si="137"/>
        <v>5.39014806339588-0.0615071358467541j</v>
      </c>
      <c r="AW217" s="87" t="str">
        <f t="shared" si="151"/>
        <v>0.692610976463026-0.352482722465925j</v>
      </c>
      <c r="AX217" s="87">
        <f t="shared" si="138"/>
        <v>-2.1899611334248954</v>
      </c>
      <c r="AY217" s="87">
        <f t="shared" si="139"/>
        <v>153.02760286532634</v>
      </c>
      <c r="AZ217" s="87" t="str">
        <f t="shared" si="140"/>
        <v>-0.0908465639042867+0.0363291248736055j</v>
      </c>
      <c r="BA217" s="87">
        <f t="shared" si="141"/>
        <v>-20.189563195622625</v>
      </c>
      <c r="BB217" s="87">
        <f t="shared" si="142"/>
        <v>-21.796243813963315</v>
      </c>
      <c r="BD217" s="87" t="str">
        <f t="shared" si="143"/>
        <v>-0.136164091039442-0.0336879595229686j</v>
      </c>
      <c r="BE217" s="87">
        <f t="shared" si="144"/>
        <v>-17.060733768913977</v>
      </c>
      <c r="BF217" s="87">
        <f t="shared" si="145"/>
        <v>13.896333782020747</v>
      </c>
      <c r="BH217" s="87">
        <f t="shared" si="152"/>
        <v>18.060733768913977</v>
      </c>
      <c r="BI217" s="107">
        <f t="shared" si="153"/>
        <v>-13.896333782020747</v>
      </c>
      <c r="BJ217" s="91"/>
      <c r="BK217" s="91"/>
      <c r="BL217" s="91"/>
      <c r="BM217" s="91"/>
      <c r="BN217" s="42"/>
      <c r="BO217" s="42"/>
      <c r="BP217" s="42"/>
    </row>
    <row r="218" spans="1:68" s="87" customFormat="1">
      <c r="A218" s="87">
        <v>154</v>
      </c>
      <c r="B218" s="87">
        <f t="shared" si="103"/>
        <v>120226.44346174138</v>
      </c>
      <c r="C218" s="87" t="str">
        <f t="shared" si="104"/>
        <v>755405.023093271j</v>
      </c>
      <c r="D218" s="87">
        <f t="shared" si="105"/>
        <v>0.71448103293907539</v>
      </c>
      <c r="E218" s="87" t="str">
        <f t="shared" si="106"/>
        <v>-0.839338914548079j</v>
      </c>
      <c r="F218" s="87" t="str">
        <f t="shared" si="107"/>
        <v>0.714481032939075-0.839338914548079j</v>
      </c>
      <c r="G218" s="87">
        <f t="shared" si="108"/>
        <v>0.84566612506370709</v>
      </c>
      <c r="H218" s="87">
        <f t="shared" si="109"/>
        <v>-49.594156245901722</v>
      </c>
      <c r="J218" s="87">
        <f t="shared" si="110"/>
        <v>14.187192118226601</v>
      </c>
      <c r="K218" s="87" t="str">
        <f t="shared" si="111"/>
        <v>1+37.8269065313955j</v>
      </c>
      <c r="L218" s="87">
        <f t="shared" si="112"/>
        <v>-78.389626866350994</v>
      </c>
      <c r="M218" s="87" t="str">
        <f t="shared" si="113"/>
        <v>2.71443445367185j</v>
      </c>
      <c r="N218" s="87" t="str">
        <f t="shared" si="114"/>
        <v>-78.389626866351+2.71443445367185j</v>
      </c>
      <c r="O218" s="87" t="str">
        <f t="shared" si="115"/>
        <v>0.00394795841734186-0.482413191244294j</v>
      </c>
      <c r="P218" s="87" t="str">
        <f t="shared" si="116"/>
        <v>0.0560104445415988-6.84408862454959j</v>
      </c>
      <c r="R218" s="87">
        <f t="shared" si="117"/>
        <v>23.645320197044338</v>
      </c>
      <c r="S218" s="87" t="str">
        <f t="shared" si="118"/>
        <v>1+0.0566553767319953j</v>
      </c>
      <c r="T218" s="87" t="str">
        <f t="shared" si="119"/>
        <v>-78.389626866351+2.71443445367185j</v>
      </c>
      <c r="U218" s="87" t="str">
        <f t="shared" si="120"/>
        <v>-0.0127165153270716-0.0011630814906402j</v>
      </c>
      <c r="V218" s="87" t="str">
        <f t="shared" si="121"/>
        <v>-0.30068607669923-0.0275014342614432j</v>
      </c>
      <c r="X218" s="87" t="str">
        <f t="shared" si="122"/>
        <v>-0.433407728409232-0.375095079325816j</v>
      </c>
      <c r="Y218" s="87">
        <f t="shared" si="123"/>
        <v>-4.8341362748584791</v>
      </c>
      <c r="Z218" s="87">
        <f t="shared" si="124"/>
        <v>40.874728746131836</v>
      </c>
      <c r="AB218" s="87" t="str">
        <f t="shared" si="125"/>
        <v>-0.114225491509415-0.0104473239340226j</v>
      </c>
      <c r="AC218" s="87">
        <f t="shared" si="126"/>
        <v>-18.808560157669007</v>
      </c>
      <c r="AD218" s="87">
        <f t="shared" si="127"/>
        <v>5.2258629616497103</v>
      </c>
      <c r="AF218" s="87" t="str">
        <f t="shared" si="128"/>
        <v>-0.131681820065518-0.105614795114055j</v>
      </c>
      <c r="AG218" s="87">
        <f t="shared" si="129"/>
        <v>-15.452376381357457</v>
      </c>
      <c r="AH218" s="87">
        <f t="shared" si="130"/>
        <v>38.731195229631112</v>
      </c>
      <c r="AJ218" s="87" t="str">
        <f t="shared" si="131"/>
        <v>157477.708466828-1873.61136901669j</v>
      </c>
      <c r="AK218" s="87" t="str">
        <f t="shared" si="132"/>
        <v>30000-0.000679864520783943j</v>
      </c>
      <c r="AL218" s="87" t="str">
        <f t="shared" si="146"/>
        <v>10000-29417.6257012768j</v>
      </c>
      <c r="AM218" s="87" t="str">
        <f t="shared" si="147"/>
        <v>912.962467670588-9343.6392833537j</v>
      </c>
      <c r="AN218" s="87" t="str">
        <f t="shared" si="148"/>
        <v>10912.9624676706-9343.6392833537j</v>
      </c>
      <c r="AO218" s="87" t="str">
        <f t="shared" si="149"/>
        <v>9092.54599868256-4774.81213719548j</v>
      </c>
      <c r="AP218" s="87" t="str">
        <f t="shared" si="150"/>
        <v>0.160003043981764+0.00159903251244627j</v>
      </c>
      <c r="AQ218" s="87" t="str">
        <f t="shared" si="133"/>
        <v>1+103.339407159159j</v>
      </c>
      <c r="AR218" s="87">
        <f t="shared" si="134"/>
        <v>-7.7063107251509744E-6</v>
      </c>
      <c r="AS218" s="87" t="str">
        <f t="shared" si="135"/>
        <v>0.00575148765672708j</v>
      </c>
      <c r="AT218" s="87" t="str">
        <f t="shared" si="136"/>
        <v>-7.70631072515097E-06+0.00575148765672708j</v>
      </c>
      <c r="AU218" s="87" t="str">
        <f t="shared" si="137"/>
        <v>5.39014710236079-0.0593825752239237j</v>
      </c>
      <c r="AW218" s="87" t="str">
        <f t="shared" si="151"/>
        <v>0.679872555330117-0.361875480528852j</v>
      </c>
      <c r="AX218" s="87">
        <f t="shared" si="138"/>
        <v>-2.2681309405370289</v>
      </c>
      <c r="AY218" s="87">
        <f t="shared" si="139"/>
        <v>151.97498526654545</v>
      </c>
      <c r="AZ218" s="87" t="str">
        <f t="shared" si="140"/>
        <v>-0.0814394071652096+0.0342325558092284j</v>
      </c>
      <c r="BA218" s="87">
        <f t="shared" si="141"/>
        <v>-21.076691098206027</v>
      </c>
      <c r="BB218" s="87">
        <f t="shared" si="142"/>
        <v>-22.799151771804816</v>
      </c>
      <c r="BD218" s="87" t="str">
        <f t="shared" si="143"/>
        <v>-0.127746260231319-0.0241521787217362j</v>
      </c>
      <c r="BE218" s="87">
        <f t="shared" si="144"/>
        <v>-17.720507321894502</v>
      </c>
      <c r="BF218" s="87">
        <f t="shared" si="145"/>
        <v>10.706180496176614</v>
      </c>
      <c r="BH218" s="87">
        <f t="shared" si="152"/>
        <v>18.720507321894502</v>
      </c>
      <c r="BI218" s="107">
        <f t="shared" si="153"/>
        <v>-10.706180496176614</v>
      </c>
      <c r="BJ218" s="91"/>
      <c r="BK218" s="91"/>
      <c r="BL218" s="91"/>
      <c r="BM218" s="91"/>
      <c r="BN218" s="42"/>
      <c r="BO218" s="42"/>
      <c r="BP218" s="42"/>
    </row>
    <row r="219" spans="1:68" s="87" customFormat="1">
      <c r="A219" s="87">
        <v>155</v>
      </c>
      <c r="B219" s="87">
        <f t="shared" si="103"/>
        <v>125892.5411794168</v>
      </c>
      <c r="C219" s="87" t="str">
        <f t="shared" si="104"/>
        <v>791006.165022013j</v>
      </c>
      <c r="D219" s="87">
        <f t="shared" si="105"/>
        <v>0.68693467803237196</v>
      </c>
      <c r="E219" s="87" t="str">
        <f t="shared" si="106"/>
        <v>-0.878895738913348j</v>
      </c>
      <c r="F219" s="87" t="str">
        <f t="shared" si="107"/>
        <v>0.686934678032372-0.878895738913348j</v>
      </c>
      <c r="G219" s="87">
        <f t="shared" si="108"/>
        <v>0.94938005081668653</v>
      </c>
      <c r="H219" s="87">
        <f t="shared" si="109"/>
        <v>-51.989230842686972</v>
      </c>
      <c r="J219" s="87">
        <f t="shared" si="110"/>
        <v>14.187192118226601</v>
      </c>
      <c r="K219" s="87" t="str">
        <f t="shared" si="111"/>
        <v>1+39.6096337134773j</v>
      </c>
      <c r="L219" s="87">
        <f t="shared" si="112"/>
        <v>-86.048994858897089</v>
      </c>
      <c r="M219" s="87" t="str">
        <f t="shared" si="113"/>
        <v>2.84236180825275j</v>
      </c>
      <c r="N219" s="87" t="str">
        <f t="shared" si="114"/>
        <v>-86.0489948588971+2.84236180825275j</v>
      </c>
      <c r="O219" s="87" t="str">
        <f t="shared" si="115"/>
        <v>0.00357988326288749-0.46019664093634j</v>
      </c>
      <c r="P219" s="87" t="str">
        <f t="shared" si="116"/>
        <v>0.0507884916114087-6.5288981571264j</v>
      </c>
      <c r="R219" s="87">
        <f t="shared" si="117"/>
        <v>23.645320197044338</v>
      </c>
      <c r="S219" s="87" t="str">
        <f t="shared" si="118"/>
        <v>1+0.059325462376651j</v>
      </c>
      <c r="T219" s="87" t="str">
        <f t="shared" si="119"/>
        <v>-86.0489948588971+2.84236180825275j</v>
      </c>
      <c r="U219" s="87" t="str">
        <f t="shared" si="120"/>
        <v>-0.0115858713690711-0.00107214152614693j</v>
      </c>
      <c r="V219" s="87" t="str">
        <f t="shared" si="121"/>
        <v>-0.273951638283455-0.0253511296822919j</v>
      </c>
      <c r="X219" s="87" t="str">
        <f t="shared" si="122"/>
        <v>-0.433319662216247-0.34414078563688j</v>
      </c>
      <c r="Y219" s="87">
        <f t="shared" si="123"/>
        <v>-5.1399650145807634</v>
      </c>
      <c r="Z219" s="87">
        <f t="shared" si="124"/>
        <v>38.456465728472466</v>
      </c>
      <c r="AB219" s="87" t="str">
        <f t="shared" si="125"/>
        <v>-0.10406953616292-0.00963046004679248j</v>
      </c>
      <c r="AC219" s="87">
        <f t="shared" si="126"/>
        <v>-19.61649553181369</v>
      </c>
      <c r="AD219" s="87">
        <f t="shared" si="127"/>
        <v>5.2870198716240679</v>
      </c>
      <c r="AF219" s="87" t="str">
        <f t="shared" si="128"/>
        <v>-0.126626606060254-0.0938939225366319j</v>
      </c>
      <c r="AG219" s="87">
        <f t="shared" si="129"/>
        <v>-16.046672096251172</v>
      </c>
      <c r="AH219" s="87">
        <f t="shared" si="130"/>
        <v>36.557020693187724</v>
      </c>
      <c r="AJ219" s="87" t="str">
        <f t="shared" si="131"/>
        <v>157475.558153669-1961.8851631024j</v>
      </c>
      <c r="AK219" s="87" t="str">
        <f t="shared" si="132"/>
        <v>30000-0.000711905548519812j</v>
      </c>
      <c r="AL219" s="87" t="str">
        <f t="shared" si="146"/>
        <v>10000-28093.614443073j</v>
      </c>
      <c r="AM219" s="87" t="str">
        <f t="shared" si="147"/>
        <v>908.396662607176-8941.70538728712j</v>
      </c>
      <c r="AN219" s="87" t="str">
        <f t="shared" si="148"/>
        <v>10908.3966626072-8941.70538728712j</v>
      </c>
      <c r="AO219" s="87" t="str">
        <f t="shared" si="149"/>
        <v>9002.8025627769-4589.54078174783j</v>
      </c>
      <c r="AP219" s="87" t="str">
        <f t="shared" si="150"/>
        <v>0.160003337658467+0.00167439200764199j</v>
      </c>
      <c r="AQ219" s="87" t="str">
        <f t="shared" si="133"/>
        <v>1+108.209643375011j</v>
      </c>
      <c r="AR219" s="87">
        <f t="shared" si="134"/>
        <v>-8.4594495024467422E-6</v>
      </c>
      <c r="AS219" s="87" t="str">
        <f t="shared" si="135"/>
        <v>0.0060225469191213j</v>
      </c>
      <c r="AT219" s="87" t="str">
        <f t="shared" si="136"/>
        <v>-8.45944950244674E-06+0.0060225469191213j</v>
      </c>
      <c r="AU219" s="87" t="str">
        <f t="shared" si="137"/>
        <v>5.39014606471836-0.0573839727753786j</v>
      </c>
      <c r="AW219" s="87" t="str">
        <f t="shared" si="151"/>
        <v>0.666416462418651-0.371066229925318j</v>
      </c>
      <c r="AX219" s="87">
        <f t="shared" si="138"/>
        <v>-2.352255005134186</v>
      </c>
      <c r="AY219" s="87">
        <f t="shared" si="139"/>
        <v>150.89057581960324</v>
      </c>
      <c r="AZ219" s="87" t="str">
        <f t="shared" si="140"/>
        <v>-0.0729271906372529+0.0321987933182038j</v>
      </c>
      <c r="BA219" s="87">
        <f t="shared" si="141"/>
        <v>-21.968750536947852</v>
      </c>
      <c r="BB219" s="87">
        <f t="shared" si="142"/>
        <v>-23.822404308772718</v>
      </c>
      <c r="BD219" s="87" t="str">
        <f t="shared" si="143"/>
        <v>-0.119226918707323-0.0155855983804561j</v>
      </c>
      <c r="BE219" s="87">
        <f t="shared" si="144"/>
        <v>-18.398927101385315</v>
      </c>
      <c r="BF219" s="87">
        <f t="shared" si="145"/>
        <v>7.4475965127908808</v>
      </c>
      <c r="BH219" s="87">
        <f t="shared" si="152"/>
        <v>19.398927101385315</v>
      </c>
      <c r="BI219" s="107">
        <f t="shared" si="153"/>
        <v>-7.4475965127908808</v>
      </c>
      <c r="BJ219" s="91"/>
      <c r="BK219" s="91"/>
      <c r="BL219" s="91"/>
      <c r="BM219" s="91"/>
      <c r="BN219" s="42"/>
      <c r="BO219" s="42"/>
      <c r="BP219" s="42"/>
    </row>
    <row r="220" spans="1:68" s="87" customFormat="1">
      <c r="A220" s="87">
        <v>156</v>
      </c>
      <c r="B220" s="87">
        <f t="shared" si="103"/>
        <v>131825.6738556409</v>
      </c>
      <c r="C220" s="87" t="str">
        <f t="shared" si="104"/>
        <v>828285.137078811j</v>
      </c>
      <c r="D220" s="87">
        <f t="shared" si="105"/>
        <v>0.65673070049394933</v>
      </c>
      <c r="E220" s="87" t="str">
        <f t="shared" si="106"/>
        <v>-0.920316818976457j</v>
      </c>
      <c r="F220" s="87" t="str">
        <f t="shared" si="107"/>
        <v>0.656730700493949-0.920316818976457j</v>
      </c>
      <c r="G220" s="87">
        <f t="shared" si="108"/>
        <v>1.0662540291648437</v>
      </c>
      <c r="H220" s="87">
        <f t="shared" si="109"/>
        <v>-54.488650521679965</v>
      </c>
      <c r="J220" s="87">
        <f t="shared" si="110"/>
        <v>14.187192118226601</v>
      </c>
      <c r="K220" s="87" t="str">
        <f t="shared" si="111"/>
        <v>1+41.4763782392215j</v>
      </c>
      <c r="L220" s="87">
        <f t="shared" si="112"/>
        <v>-94.447324858960982</v>
      </c>
      <c r="M220" s="87" t="str">
        <f t="shared" si="113"/>
        <v>2.97631819331103j</v>
      </c>
      <c r="N220" s="87" t="str">
        <f t="shared" si="114"/>
        <v>-94.447324858961+2.97631819331103j</v>
      </c>
      <c r="O220" s="87" t="str">
        <f t="shared" si="115"/>
        <v>0.00324773981398919-0.439045912566064j</v>
      </c>
      <c r="P220" s="87" t="str">
        <f t="shared" si="116"/>
        <v>0.0460763086910782-6.22882871029687j</v>
      </c>
      <c r="R220" s="87">
        <f t="shared" si="117"/>
        <v>23.645320197044338</v>
      </c>
      <c r="S220" s="87" t="str">
        <f t="shared" si="118"/>
        <v>1+0.0621213852809108j</v>
      </c>
      <c r="T220" s="87" t="str">
        <f t="shared" si="119"/>
        <v>-94.447324858961+2.97631819331103j</v>
      </c>
      <c r="U220" s="87" t="str">
        <f t="shared" si="120"/>
        <v>-0.010556701620901-0.000990409082694938j</v>
      </c>
      <c r="V220" s="87" t="str">
        <f t="shared" si="121"/>
        <v>-0.249616590050861-0.0234185398863828j</v>
      </c>
      <c r="X220" s="87" t="str">
        <f t="shared" si="122"/>
        <v>-0.433236369413129-0.314016339636894j</v>
      </c>
      <c r="Y220" s="87">
        <f t="shared" si="123"/>
        <v>-5.4317863174082159</v>
      </c>
      <c r="Z220" s="87">
        <f t="shared" si="124"/>
        <v>35.935173923507818</v>
      </c>
      <c r="AB220" s="87" t="str">
        <f t="shared" si="125"/>
        <v>-0.0948250680592181-0.00889630227751003j</v>
      </c>
      <c r="AC220" s="87">
        <f t="shared" si="126"/>
        <v>-20.423478145432135</v>
      </c>
      <c r="AD220" s="87">
        <f t="shared" si="127"/>
        <v>5.3596896077828546</v>
      </c>
      <c r="AF220" s="87" t="str">
        <f t="shared" si="128"/>
        <v>-0.121358993708224-0.082935824966593j</v>
      </c>
      <c r="AG220" s="87">
        <f t="shared" si="129"/>
        <v>-16.654184640982447</v>
      </c>
      <c r="AH220" s="87">
        <f t="shared" si="130"/>
        <v>34.348407895281298</v>
      </c>
      <c r="AJ220" s="87" t="str">
        <f t="shared" si="131"/>
        <v>157473.200449671-2054.31520487594j</v>
      </c>
      <c r="AK220" s="87" t="str">
        <f t="shared" si="132"/>
        <v>30000-0.000745456623370928j</v>
      </c>
      <c r="AL220" s="87" t="str">
        <f t="shared" si="146"/>
        <v>10000-26829.1935076795j</v>
      </c>
      <c r="AM220" s="87" t="str">
        <f t="shared" si="147"/>
        <v>903.442560112972-8558.53496454583j</v>
      </c>
      <c r="AN220" s="87" t="str">
        <f t="shared" si="148"/>
        <v>10903.442560113-8558.53496454583j</v>
      </c>
      <c r="AO220" s="87" t="str">
        <f t="shared" si="149"/>
        <v>8919.85776365682-4410.75676212032j</v>
      </c>
      <c r="AP220" s="87" t="str">
        <f t="shared" si="150"/>
        <v>0.160003659668331+0.00175330299969917j</v>
      </c>
      <c r="AQ220" s="87" t="str">
        <f t="shared" si="133"/>
        <v>1+113.309406752381j</v>
      </c>
      <c r="AR220" s="87">
        <f t="shared" si="134"/>
        <v>-9.285249750421497E-6</v>
      </c>
      <c r="AS220" s="87" t="str">
        <f t="shared" si="135"/>
        <v>0.00630638081098791j</v>
      </c>
      <c r="AT220" s="87" t="str">
        <f t="shared" si="136"/>
        <v>-0.0000092852497504215+0.00630638081098791j</v>
      </c>
      <c r="AU220" s="87" t="str">
        <f t="shared" si="137"/>
        <v>5.39014494166005-0.0555070891634673j</v>
      </c>
      <c r="AW220" s="87" t="str">
        <f t="shared" si="151"/>
        <v>0.652242198789157-0.37999361720759j</v>
      </c>
      <c r="AX220" s="87">
        <f t="shared" si="138"/>
        <v>-2.4426609575762801</v>
      </c>
      <c r="AY220" s="87">
        <f t="shared" si="139"/>
        <v>149.77509851966016</v>
      </c>
      <c r="AZ220" s="87" t="str">
        <f t="shared" si="140"/>
        <v>-0.065229448973479+0.0302303768552021j</v>
      </c>
      <c r="BA220" s="87">
        <f t="shared" si="141"/>
        <v>-22.866139103008418</v>
      </c>
      <c r="BB220" s="87">
        <f t="shared" si="142"/>
        <v>-24.86521187255704</v>
      </c>
      <c r="BD220" s="87" t="str">
        <f t="shared" si="143"/>
        <v>-0.110670541024243-0.00797860183474187j</v>
      </c>
      <c r="BE220" s="87">
        <f t="shared" si="144"/>
        <v>-19.096845598558701</v>
      </c>
      <c r="BF220" s="87">
        <f t="shared" si="145"/>
        <v>4.1235064149413461</v>
      </c>
      <c r="BH220" s="87">
        <f t="shared" si="152"/>
        <v>20.096845598558701</v>
      </c>
      <c r="BI220" s="107">
        <f t="shared" si="153"/>
        <v>-4.1235064149413461</v>
      </c>
      <c r="BJ220" s="91"/>
      <c r="BK220" s="91"/>
      <c r="BL220" s="91"/>
      <c r="BM220" s="91"/>
      <c r="BN220" s="42"/>
      <c r="BO220" s="42"/>
      <c r="BP220" s="42"/>
    </row>
    <row r="221" spans="1:68" s="87" customFormat="1">
      <c r="A221" s="87">
        <v>157</v>
      </c>
      <c r="B221" s="87">
        <f t="shared" si="103"/>
        <v>138038.42646028864</v>
      </c>
      <c r="C221" s="87" t="str">
        <f t="shared" si="104"/>
        <v>867321.012961475j</v>
      </c>
      <c r="D221" s="87">
        <f t="shared" si="105"/>
        <v>0.6236126976862717</v>
      </c>
      <c r="E221" s="87" t="str">
        <f t="shared" si="106"/>
        <v>-0.963690014401639j</v>
      </c>
      <c r="F221" s="87" t="str">
        <f t="shared" si="107"/>
        <v>0.623612697686272-0.963690014401639j</v>
      </c>
      <c r="G221" s="87">
        <f t="shared" si="108"/>
        <v>1.1978069895506154</v>
      </c>
      <c r="H221" s="87">
        <f t="shared" si="109"/>
        <v>-57.092721611154857</v>
      </c>
      <c r="J221" s="87">
        <f t="shared" si="110"/>
        <v>14.187192118226601</v>
      </c>
      <c r="K221" s="87" t="str">
        <f t="shared" si="111"/>
        <v>1+43.4310997240459j</v>
      </c>
      <c r="L221" s="87">
        <f t="shared" si="112"/>
        <v>-103.6559105880459</v>
      </c>
      <c r="M221" s="87" t="str">
        <f t="shared" si="113"/>
        <v>3.11658774829925j</v>
      </c>
      <c r="N221" s="87" t="str">
        <f t="shared" si="114"/>
        <v>-103.655910588046+3.11658774829925j</v>
      </c>
      <c r="O221" s="87" t="str">
        <f t="shared" si="115"/>
        <v>0.0029477546570386-0.41890435906319j</v>
      </c>
      <c r="P221" s="87" t="str">
        <f t="shared" si="116"/>
        <v>0.0418203616368038-5.94307662119206j</v>
      </c>
      <c r="R221" s="87">
        <f t="shared" si="117"/>
        <v>23.645320197044338</v>
      </c>
      <c r="S221" s="87" t="str">
        <f t="shared" si="118"/>
        <v>1+0.0650490759721106j</v>
      </c>
      <c r="T221" s="87" t="str">
        <f t="shared" si="119"/>
        <v>-103.655910588046+3.11658774829925j</v>
      </c>
      <c r="U221" s="87" t="str">
        <f t="shared" si="120"/>
        <v>-0.00961973865184646-0.000916781638955138j</v>
      </c>
      <c r="V221" s="87" t="str">
        <f t="shared" si="121"/>
        <v>-0.227461800634793-0.0216775954038653j</v>
      </c>
      <c r="X221" s="87" t="str">
        <f t="shared" si="122"/>
        <v>-0.433157945480643-0.2846447123571j</v>
      </c>
      <c r="Y221" s="87">
        <f t="shared" si="123"/>
        <v>-5.7081571252445116</v>
      </c>
      <c r="Z221" s="87">
        <f t="shared" si="124"/>
        <v>33.310451833140377</v>
      </c>
      <c r="AB221" s="87" t="str">
        <f t="shared" si="125"/>
        <v>-0.0864088429445803-0.00823494728099956j</v>
      </c>
      <c r="AC221" s="87">
        <f t="shared" si="126"/>
        <v>-21.229569472341225</v>
      </c>
      <c r="AD221" s="87">
        <f t="shared" si="127"/>
        <v>5.4439682784967545</v>
      </c>
      <c r="AF221" s="87" t="str">
        <f t="shared" si="128"/>
        <v>-0.115914395999364-0.0727351946800155j</v>
      </c>
      <c r="AG221" s="87">
        <f t="shared" si="129"/>
        <v>-17.275420922710289</v>
      </c>
      <c r="AH221" s="87">
        <f t="shared" si="130"/>
        <v>32.107884994922983</v>
      </c>
      <c r="AJ221" s="87" t="str">
        <f t="shared" si="131"/>
        <v>157470.615359785-2151.09678460187j</v>
      </c>
      <c r="AK221" s="87" t="str">
        <f t="shared" si="132"/>
        <v>30000-0.000780588911665328j</v>
      </c>
      <c r="AL221" s="87" t="str">
        <f t="shared" si="146"/>
        <v>10000-25621.6808887683j</v>
      </c>
      <c r="AM221" s="87" t="str">
        <f t="shared" si="147"/>
        <v>898.072233167619-8193.28897481953j</v>
      </c>
      <c r="AN221" s="87" t="str">
        <f t="shared" si="148"/>
        <v>10898.0722331676-8193.28897481953j</v>
      </c>
      <c r="AO221" s="87" t="str">
        <f t="shared" si="149"/>
        <v>8843.17756618381-4238.43844289193j</v>
      </c>
      <c r="AP221" s="87" t="str">
        <f t="shared" si="150"/>
        <v>0.160004012744844+0.00183593285265926j</v>
      </c>
      <c r="AQ221" s="87" t="str">
        <f t="shared" si="133"/>
        <v>1+118.64951457313j</v>
      </c>
      <c r="AR221" s="87">
        <f t="shared" si="134"/>
        <v>-1.019072171669542E-5</v>
      </c>
      <c r="AS221" s="87" t="str">
        <f t="shared" si="135"/>
        <v>0.00660359138206582j</v>
      </c>
      <c r="AT221" s="87" t="str">
        <f t="shared" si="136"/>
        <v>-0.0000101907217166954+0.00660359138206582j</v>
      </c>
      <c r="AU221" s="87" t="str">
        <f t="shared" si="137"/>
        <v>5.39014372365234-0.0537479432274774j</v>
      </c>
      <c r="AW221" s="87" t="str">
        <f t="shared" si="151"/>
        <v>0.637355614591931-0.388593908309172j</v>
      </c>
      <c r="AX221" s="87">
        <f t="shared" si="138"/>
        <v>-2.5396753266576604</v>
      </c>
      <c r="AY221" s="87">
        <f t="shared" si="139"/>
        <v>148.62945654484119</v>
      </c>
      <c r="AZ221" s="87" t="str">
        <f t="shared" si="140"/>
        <v>-0.0582732115497642+0.0283293601068943j</v>
      </c>
      <c r="BA221" s="87">
        <f t="shared" si="141"/>
        <v>-23.769244798998884</v>
      </c>
      <c r="BB221" s="87">
        <f t="shared" si="142"/>
        <v>-25.926575176662084</v>
      </c>
      <c r="BD221" s="87" t="str">
        <f t="shared" si="143"/>
        <v>-0.102143144674563-0.0013145565370552j</v>
      </c>
      <c r="BE221" s="87">
        <f t="shared" si="144"/>
        <v>-19.815096249367937</v>
      </c>
      <c r="BF221" s="87">
        <f t="shared" si="145"/>
        <v>0.73734153976423045</v>
      </c>
      <c r="BH221" s="87">
        <f t="shared" si="152"/>
        <v>20.815096249367937</v>
      </c>
      <c r="BI221" s="107">
        <f t="shared" si="153"/>
        <v>-0.73734153976423045</v>
      </c>
      <c r="BJ221" s="91"/>
      <c r="BK221" s="91"/>
      <c r="BL221" s="91"/>
      <c r="BM221" s="91"/>
      <c r="BN221" s="42"/>
      <c r="BO221" s="42"/>
      <c r="BP221" s="42"/>
    </row>
    <row r="222" spans="1:68" s="87" customFormat="1">
      <c r="A222" s="87">
        <v>158</v>
      </c>
      <c r="B222" s="87">
        <f t="shared" si="103"/>
        <v>144543.9770745929</v>
      </c>
      <c r="C222" s="87" t="str">
        <f t="shared" si="104"/>
        <v>908196.592996385j</v>
      </c>
      <c r="D222" s="87">
        <f t="shared" si="105"/>
        <v>0.58729952970784338</v>
      </c>
      <c r="E222" s="87" t="str">
        <f t="shared" si="106"/>
        <v>-1.00910732555154j</v>
      </c>
      <c r="F222" s="87" t="str">
        <f t="shared" si="107"/>
        <v>0.587299529707843-1.00910732555154j</v>
      </c>
      <c r="G222" s="87">
        <f t="shared" si="108"/>
        <v>1.3456541770011845</v>
      </c>
      <c r="H222" s="87">
        <f t="shared" si="109"/>
        <v>-59.800634427395543</v>
      </c>
      <c r="J222" s="87">
        <f t="shared" si="110"/>
        <v>14.187192118226601</v>
      </c>
      <c r="K222" s="87" t="str">
        <f t="shared" si="111"/>
        <v>1+45.477944394294j</v>
      </c>
      <c r="L222" s="87">
        <f t="shared" si="112"/>
        <v>-113.75292405730305</v>
      </c>
      <c r="M222" s="87" t="str">
        <f t="shared" si="113"/>
        <v>3.26346800374982j</v>
      </c>
      <c r="N222" s="87" t="str">
        <f t="shared" si="114"/>
        <v>-113.752924057303+3.26346800374982j</v>
      </c>
      <c r="O222" s="87" t="str">
        <f t="shared" si="115"/>
        <v>0.00267659310564069-0.399719038390869j</v>
      </c>
      <c r="P222" s="87" t="str">
        <f t="shared" si="116"/>
        <v>0.0379733406120453-5.67089079096405j</v>
      </c>
      <c r="R222" s="87">
        <f t="shared" si="117"/>
        <v>23.645320197044338</v>
      </c>
      <c r="S222" s="87" t="str">
        <f t="shared" si="118"/>
        <v>1+0.0681147444747289j</v>
      </c>
      <c r="T222" s="87" t="str">
        <f t="shared" si="119"/>
        <v>-113.752924057303+3.26346800374982j</v>
      </c>
      <c r="U222" s="87" t="str">
        <f t="shared" si="120"/>
        <v>-0.00876658844727465-0.000850301002598647j</v>
      </c>
      <c r="V222" s="87" t="str">
        <f t="shared" si="121"/>
        <v>-0.207288790871519-0.0201056394703128j</v>
      </c>
      <c r="X222" s="87" t="str">
        <f t="shared" si="122"/>
        <v>-0.433084387114797-0.255952216612114j</v>
      </c>
      <c r="Y222" s="87">
        <f t="shared" si="123"/>
        <v>-5.9675311656863164</v>
      </c>
      <c r="Z222" s="87">
        <f t="shared" si="124"/>
        <v>30.583023046060106</v>
      </c>
      <c r="AB222" s="87" t="str">
        <f t="shared" si="125"/>
        <v>-0.0787454619835154-0.00763778814043589j</v>
      </c>
      <c r="AC222" s="87">
        <f t="shared" si="126"/>
        <v>-22.034823097906987</v>
      </c>
      <c r="AD222" s="87">
        <f t="shared" si="127"/>
        <v>5.5399815550682092</v>
      </c>
      <c r="AF222" s="87" t="str">
        <f t="shared" si="128"/>
        <v>-0.110329770000546-0.0632844404263132j</v>
      </c>
      <c r="AG222" s="87">
        <f t="shared" si="129"/>
        <v>-17.910864828317695</v>
      </c>
      <c r="AH222" s="87">
        <f t="shared" si="130"/>
        <v>29.838302710779459</v>
      </c>
      <c r="AJ222" s="87" t="str">
        <f t="shared" si="131"/>
        <v>157467.780962641-2252.43430928731j</v>
      </c>
      <c r="AK222" s="87" t="str">
        <f t="shared" si="132"/>
        <v>30000-0.000817376933696747j</v>
      </c>
      <c r="AL222" s="87" t="str">
        <f t="shared" si="146"/>
        <v>10000-24468.5152901809j</v>
      </c>
      <c r="AM222" s="87" t="str">
        <f t="shared" si="147"/>
        <v>892.256693862327-7845.16337988359j</v>
      </c>
      <c r="AN222" s="87" t="str">
        <f t="shared" si="148"/>
        <v>10892.2566938623-7845.16337988359j</v>
      </c>
      <c r="AO222" s="87" t="str">
        <f t="shared" si="149"/>
        <v>8772.25720861343-4072.53415638488j</v>
      </c>
      <c r="AP222" s="87" t="str">
        <f t="shared" si="150"/>
        <v>0.1600043998852+0.00192245681628431j</v>
      </c>
      <c r="AQ222" s="87" t="str">
        <f t="shared" si="133"/>
        <v>1+124.241293921905j</v>
      </c>
      <c r="AR222" s="87">
        <f t="shared" si="134"/>
        <v>-1.1183551984933696E-5</v>
      </c>
      <c r="AS222" s="87" t="str">
        <f t="shared" si="135"/>
        <v>0.00691480905582402j</v>
      </c>
      <c r="AT222" s="87" t="str">
        <f t="shared" si="136"/>
        <v>-0.0000111835519849337+0.00691480905582402j</v>
      </c>
      <c r="AU222" s="87" t="str">
        <f t="shared" si="137"/>
        <v>5.39014240035555-0.0521028035383167j</v>
      </c>
      <c r="AW222" s="87" t="str">
        <f t="shared" si="151"/>
        <v>0.621769493741026-0.39680172513815j</v>
      </c>
      <c r="AX222" s="87">
        <f t="shared" si="138"/>
        <v>-2.643620535389521</v>
      </c>
      <c r="AY222" s="87">
        <f t="shared" si="139"/>
        <v>147.45473836526983</v>
      </c>
      <c r="AZ222" s="87" t="str">
        <f t="shared" si="140"/>
        <v>-0.0519922135422582+0.0264973914964795j</v>
      </c>
      <c r="BA222" s="87">
        <f t="shared" si="141"/>
        <v>-24.67844363329651</v>
      </c>
      <c r="BB222" s="87">
        <f t="shared" si="142"/>
        <v>-27.005280079661986</v>
      </c>
      <c r="BD222" s="87" t="str">
        <f t="shared" si="143"/>
        <v>-0.0937110603733671+0.00443070858475931j</v>
      </c>
      <c r="BE222" s="87">
        <f t="shared" si="144"/>
        <v>-20.554485363707194</v>
      </c>
      <c r="BF222" s="87">
        <f t="shared" si="145"/>
        <v>-2.7069589239508787</v>
      </c>
      <c r="BH222" s="87">
        <f t="shared" si="152"/>
        <v>21.554485363707194</v>
      </c>
      <c r="BI222" s="107">
        <f t="shared" si="153"/>
        <v>2.7069589239508787</v>
      </c>
      <c r="BJ222" s="91"/>
      <c r="BK222" s="91"/>
      <c r="BL222" s="91"/>
      <c r="BM222" s="91"/>
      <c r="BN222" s="42"/>
      <c r="BO222" s="42"/>
      <c r="BP222" s="42"/>
    </row>
    <row r="223" spans="1:68" s="87" customFormat="1">
      <c r="A223" s="87">
        <v>159</v>
      </c>
      <c r="B223" s="87">
        <f t="shared" si="103"/>
        <v>151356.12484362093</v>
      </c>
      <c r="C223" s="87" t="str">
        <f t="shared" si="104"/>
        <v>950998.579769078j</v>
      </c>
      <c r="D223" s="87">
        <f t="shared" si="105"/>
        <v>0.54748293278661242</v>
      </c>
      <c r="E223" s="87" t="str">
        <f t="shared" si="106"/>
        <v>-1.05666508863231j</v>
      </c>
      <c r="F223" s="87" t="str">
        <f t="shared" si="107"/>
        <v>0.547482932786612-1.05666508863231j</v>
      </c>
      <c r="G223" s="87">
        <f t="shared" si="108"/>
        <v>1.5114871484294103</v>
      </c>
      <c r="H223" s="87">
        <f t="shared" si="109"/>
        <v>-62.610268082447789</v>
      </c>
      <c r="J223" s="87">
        <f t="shared" si="110"/>
        <v>14.187192118226601</v>
      </c>
      <c r="K223" s="87" t="str">
        <f t="shared" si="111"/>
        <v>1+47.6212538819366j</v>
      </c>
      <c r="L223" s="87">
        <f t="shared" si="112"/>
        <v>-124.82407917250745</v>
      </c>
      <c r="M223" s="87" t="str">
        <f t="shared" si="113"/>
        <v>3.41727051237711j</v>
      </c>
      <c r="N223" s="87" t="str">
        <f t="shared" si="114"/>
        <v>-124.824079172507+3.41727051237711j</v>
      </c>
      <c r="O223" s="87" t="str">
        <f t="shared" si="115"/>
        <v>0.00243130171423622-0.381440390202925j</v>
      </c>
      <c r="P223" s="87" t="str">
        <f t="shared" si="116"/>
        <v>0.0344933445172429-5.41156809746022j</v>
      </c>
      <c r="R223" s="87">
        <f t="shared" si="117"/>
        <v>23.645320197044338</v>
      </c>
      <c r="S223" s="87" t="str">
        <f t="shared" si="118"/>
        <v>1+0.0713248934826808j</v>
      </c>
      <c r="T223" s="87" t="str">
        <f t="shared" si="119"/>
        <v>-124.824079172507+3.41727051237711j</v>
      </c>
      <c r="U223" s="87" t="str">
        <f t="shared" si="120"/>
        <v>-0.00798964356269273-0.000790133341961776j</v>
      </c>
      <c r="V223" s="87" t="str">
        <f t="shared" si="121"/>
        <v>-0.188917680300124-0.0186829558690469j</v>
      </c>
      <c r="X223" s="87" t="str">
        <f t="shared" si="122"/>
        <v>-0.433015617027434-0.227868114964848j</v>
      </c>
      <c r="Y223" s="87">
        <f t="shared" si="123"/>
        <v>-6.2082796008020571</v>
      </c>
      <c r="Z223" s="87">
        <f t="shared" si="124"/>
        <v>27.754930370675538</v>
      </c>
      <c r="AB223" s="87" t="str">
        <f t="shared" si="125"/>
        <v>-0.0717665916692426-0.00709733500272864j</v>
      </c>
      <c r="AC223" s="87">
        <f t="shared" si="126"/>
        <v>-22.839285239155362</v>
      </c>
      <c r="AD223" s="87">
        <f t="shared" si="127"/>
        <v>5.6478838597265906</v>
      </c>
      <c r="AF223" s="87" t="str">
        <f t="shared" si="128"/>
        <v>-0.104643240349607-0.0545732719528967j</v>
      </c>
      <c r="AG223" s="87">
        <f t="shared" si="129"/>
        <v>-18.560972178942624</v>
      </c>
      <c r="AH223" s="87">
        <f t="shared" si="130"/>
        <v>27.542825305395468</v>
      </c>
      <c r="AJ223" s="87" t="str">
        <f t="shared" si="131"/>
        <v>157464.673225248-2358.54171946595j</v>
      </c>
      <c r="AK223" s="87" t="str">
        <f t="shared" si="132"/>
        <v>30000-0.000855898721792168j</v>
      </c>
      <c r="AL223" s="87" t="str">
        <f t="shared" si="146"/>
        <v>10000-23367.2506930749j</v>
      </c>
      <c r="AM223" s="87" t="str">
        <f t="shared" si="147"/>
        <v>885.96603982119-7513.38718096609j</v>
      </c>
      <c r="AN223" s="87" t="str">
        <f t="shared" si="148"/>
        <v>10885.9660398212-7513.38718096609j</v>
      </c>
      <c r="AO223" s="87" t="str">
        <f t="shared" si="149"/>
        <v>8706.62094281514-3912.96619865076j</v>
      </c>
      <c r="AP223" s="87" t="str">
        <f t="shared" si="150"/>
        <v>0.160004824375749+0.00201305839741759j</v>
      </c>
      <c r="AQ223" s="87" t="str">
        <f t="shared" si="133"/>
        <v>1+130.09660571241j</v>
      </c>
      <c r="AR223" s="87">
        <f t="shared" si="134"/>
        <v>-1.2272168726527945E-5</v>
      </c>
      <c r="AS223" s="87" t="str">
        <f t="shared" si="135"/>
        <v>0.00724069396667421j</v>
      </c>
      <c r="AT223" s="87" t="str">
        <f t="shared" si="136"/>
        <v>-0.0000122721687265279+0.00724069396667421j</v>
      </c>
      <c r="AU223" s="87" t="str">
        <f t="shared" si="137"/>
        <v>5.39014096053648-0.050568180482796j</v>
      </c>
      <c r="AW223" s="87" t="str">
        <f t="shared" si="151"/>
        <v>0.605504046096381-0.404550912207438j</v>
      </c>
      <c r="AX223" s="87">
        <f t="shared" si="138"/>
        <v>-2.7548116521069228</v>
      </c>
      <c r="AY223" s="87">
        <f t="shared" si="139"/>
        <v>146.25222143384647</v>
      </c>
      <c r="AZ223" s="87" t="str">
        <f t="shared" si="140"/>
        <v>-0.0463261949798689+0.0247357750651571j</v>
      </c>
      <c r="BA223" s="87">
        <f t="shared" si="141"/>
        <v>-25.594096891262286</v>
      </c>
      <c r="BB223" s="87">
        <f t="shared" si="142"/>
        <v>-28.09989470642688</v>
      </c>
      <c r="BD223" s="87" t="str">
        <f t="shared" si="143"/>
        <v>-0.0854395723790123+0.00928918136357862j</v>
      </c>
      <c r="BE223" s="87">
        <f t="shared" si="144"/>
        <v>-21.315783831049519</v>
      </c>
      <c r="BF223" s="87">
        <f t="shared" si="145"/>
        <v>-6.2049532607580602</v>
      </c>
      <c r="BH223" s="87">
        <f t="shared" si="152"/>
        <v>22.315783831049519</v>
      </c>
      <c r="BI223" s="107">
        <f t="shared" si="153"/>
        <v>6.2049532607580602</v>
      </c>
      <c r="BJ223" s="91"/>
      <c r="BK223" s="91"/>
      <c r="BL223" s="91"/>
      <c r="BM223" s="91"/>
      <c r="BN223" s="42"/>
      <c r="BO223" s="42"/>
      <c r="BP223" s="42"/>
    </row>
    <row r="224" spans="1:68" s="87" customFormat="1">
      <c r="A224" s="87">
        <v>160</v>
      </c>
      <c r="B224" s="87">
        <f t="shared" si="103"/>
        <v>158489.31924611155</v>
      </c>
      <c r="C224" s="87" t="str">
        <f t="shared" si="104"/>
        <v>995817.762032063j</v>
      </c>
      <c r="D224" s="87">
        <f t="shared" si="105"/>
        <v>0.5038249024178596</v>
      </c>
      <c r="E224" s="87" t="str">
        <f t="shared" si="106"/>
        <v>-1.10646418003563j</v>
      </c>
      <c r="F224" s="87" t="str">
        <f t="shared" si="107"/>
        <v>0.50382490241786-1.10646418003563j</v>
      </c>
      <c r="G224" s="87">
        <f t="shared" si="108"/>
        <v>1.6970455565545663</v>
      </c>
      <c r="H224" s="87">
        <f t="shared" si="109"/>
        <v>-65.518005845767576</v>
      </c>
      <c r="J224" s="87">
        <f t="shared" si="110"/>
        <v>14.187192118226601</v>
      </c>
      <c r="K224" s="87" t="str">
        <f t="shared" si="111"/>
        <v>1+49.8655744337556j</v>
      </c>
      <c r="L224" s="87">
        <f t="shared" si="112"/>
        <v>-136.9633593624485</v>
      </c>
      <c r="M224" s="87" t="str">
        <f t="shared" si="113"/>
        <v>3.5783215099226j</v>
      </c>
      <c r="N224" s="87" t="str">
        <f t="shared" si="114"/>
        <v>-136.963359362449+3.5783215099226j</v>
      </c>
      <c r="O224" s="87" t="str">
        <f t="shared" si="115"/>
        <v>0.00220925925737805-0.364021948833005j</v>
      </c>
      <c r="P224" s="87" t="str">
        <f t="shared" si="116"/>
        <v>0.031343185523393-5.1644493233451j</v>
      </c>
      <c r="R224" s="87">
        <f t="shared" si="117"/>
        <v>23.645320197044338</v>
      </c>
      <c r="S224" s="87" t="str">
        <f t="shared" si="118"/>
        <v>1+0.0746863321524047j</v>
      </c>
      <c r="T224" s="87" t="str">
        <f t="shared" si="119"/>
        <v>-136.963359362449+3.5783215099226j</v>
      </c>
      <c r="U224" s="87" t="str">
        <f t="shared" si="120"/>
        <v>-0.00728200565948591-0.000735552122173939j</v>
      </c>
      <c r="V224" s="87" t="str">
        <f t="shared" si="121"/>
        <v>-0.172185355495233-0.0173923654504183j</v>
      </c>
      <c r="X224" s="87" t="str">
        <f t="shared" si="122"/>
        <v>-0.43295150363061-0.200324266588103j</v>
      </c>
      <c r="Y224" s="87">
        <f t="shared" si="123"/>
        <v>-6.4287198249872297</v>
      </c>
      <c r="Z224" s="87">
        <f t="shared" si="124"/>
        <v>24.829719552692268</v>
      </c>
      <c r="AB224" s="87" t="str">
        <f t="shared" si="125"/>
        <v>-0.0654102680046599-0.00660706180310638j</v>
      </c>
      <c r="AC224" s="87">
        <f t="shared" si="126"/>
        <v>-23.642995193205017</v>
      </c>
      <c r="AD224" s="87">
        <f t="shared" si="127"/>
        <v>5.767857703949602</v>
      </c>
      <c r="AF224" s="87" t="str">
        <f t="shared" si="128"/>
        <v>-0.0988936395648372-0.0465883567072389j</v>
      </c>
      <c r="AG224" s="87">
        <f t="shared" si="129"/>
        <v>-19.226165793388759</v>
      </c>
      <c r="AH224" s="87">
        <f t="shared" si="130"/>
        <v>25.224917559319039</v>
      </c>
      <c r="AJ224" s="87" t="str">
        <f t="shared" si="131"/>
        <v>157461.265799943-2469.64292372126j</v>
      </c>
      <c r="AK224" s="87" t="str">
        <f t="shared" si="132"/>
        <v>30000-0.000896235985828856j</v>
      </c>
      <c r="AL224" s="87" t="str">
        <f t="shared" si="146"/>
        <v>10000-22315.5511675908j</v>
      </c>
      <c r="AM224" s="87" t="str">
        <f t="shared" si="147"/>
        <v>879.169643893186-7197.22052528865j</v>
      </c>
      <c r="AN224" s="87" t="str">
        <f t="shared" si="148"/>
        <v>10879.1696438932-7197.22052528865j</v>
      </c>
      <c r="AO224" s="87" t="str">
        <f t="shared" si="149"/>
        <v>8645.82151277278-3759.63443116354j</v>
      </c>
      <c r="AP224" s="87" t="str">
        <f t="shared" si="150"/>
        <v>0.160005289819888+0.00210792974880408j</v>
      </c>
      <c r="AQ224" s="87" t="str">
        <f t="shared" si="133"/>
        <v>1+136.227869845986j</v>
      </c>
      <c r="AR224" s="87">
        <f t="shared" si="134"/>
        <v>-1.3465813247642511E-5</v>
      </c>
      <c r="AS224" s="87" t="str">
        <f t="shared" si="135"/>
        <v>0.00758193736020448j</v>
      </c>
      <c r="AT224" s="87" t="str">
        <f t="shared" si="136"/>
        <v>-0.0000134658132476425+0.00758193736020448j</v>
      </c>
      <c r="AU224" s="87" t="str">
        <f t="shared" si="137"/>
        <v>5.3901393919725-0.0491408188607106j</v>
      </c>
      <c r="AW224" s="87" t="str">
        <f t="shared" si="151"/>
        <v>0.588587277567376-0.411775522056972j</v>
      </c>
      <c r="AX224" s="87">
        <f t="shared" si="138"/>
        <v>-2.8735529457282807</v>
      </c>
      <c r="AY224" s="87">
        <f t="shared" si="139"/>
        <v>145.0233730847543</v>
      </c>
      <c r="AZ224" s="87" t="str">
        <f t="shared" si="140"/>
        <v>-0.041220277893052+0.0230455147360955j</v>
      </c>
      <c r="BA224" s="87">
        <f t="shared" si="141"/>
        <v>-26.516548138933302</v>
      </c>
      <c r="BB224" s="87">
        <f t="shared" si="142"/>
        <v>-29.208769211296129</v>
      </c>
      <c r="BD224" s="87" t="str">
        <f t="shared" si="143"/>
        <v>-0.0773914829850966+0.0133006660192733j</v>
      </c>
      <c r="BE224" s="87">
        <f t="shared" si="144"/>
        <v>-22.099718739117037</v>
      </c>
      <c r="BF224" s="87">
        <f t="shared" si="145"/>
        <v>-9.7517093559266641</v>
      </c>
      <c r="BH224" s="87">
        <f t="shared" si="152"/>
        <v>23.099718739117037</v>
      </c>
      <c r="BI224" s="107">
        <f t="shared" si="153"/>
        <v>9.7517093559266641</v>
      </c>
      <c r="BJ224" s="91"/>
      <c r="BK224" s="91"/>
      <c r="BL224" s="91"/>
      <c r="BM224" s="91"/>
      <c r="BN224" s="42"/>
      <c r="BO224" s="42"/>
      <c r="BP224" s="42"/>
    </row>
    <row r="225" spans="1:68" s="87" customFormat="1">
      <c r="A225" s="87">
        <v>161</v>
      </c>
      <c r="B225" s="87">
        <f t="shared" si="103"/>
        <v>165958.69074375625</v>
      </c>
      <c r="C225" s="87" t="str">
        <f t="shared" si="104"/>
        <v>1042749.20727993j</v>
      </c>
      <c r="D225" s="87">
        <f t="shared" si="105"/>
        <v>0.45595482403196708</v>
      </c>
      <c r="E225" s="87" t="str">
        <f t="shared" si="106"/>
        <v>-1.15861023031103j</v>
      </c>
      <c r="F225" s="87" t="str">
        <f t="shared" si="107"/>
        <v>0.455954824031967-1.15861023031103j</v>
      </c>
      <c r="G225" s="87">
        <f t="shared" si="108"/>
        <v>1.9040803408176468</v>
      </c>
      <c r="H225" s="87">
        <f t="shared" si="109"/>
        <v>-68.518576718555906</v>
      </c>
      <c r="J225" s="87">
        <f t="shared" si="110"/>
        <v>14.187192118226601</v>
      </c>
      <c r="K225" s="87" t="str">
        <f t="shared" si="111"/>
        <v>1+52.2156665545425j</v>
      </c>
      <c r="L225" s="87">
        <f t="shared" si="112"/>
        <v>-150.27381540759114</v>
      </c>
      <c r="M225" s="87" t="str">
        <f t="shared" si="113"/>
        <v>3.74696260714456j</v>
      </c>
      <c r="N225" s="87" t="str">
        <f t="shared" si="114"/>
        <v>-150.273815407591+3.74696260714456j</v>
      </c>
      <c r="O225" s="87" t="str">
        <f t="shared" si="115"/>
        <v>0.00200813479898991-0.347420087837227j</v>
      </c>
      <c r="P225" s="87" t="str">
        <f t="shared" si="116"/>
        <v>0.0284897941925662-4.9289155318779j</v>
      </c>
      <c r="R225" s="87">
        <f t="shared" si="117"/>
        <v>23.645320197044338</v>
      </c>
      <c r="S225" s="87" t="str">
        <f t="shared" si="118"/>
        <v>1+0.0782061905459947j</v>
      </c>
      <c r="T225" s="87" t="str">
        <f t="shared" si="119"/>
        <v>-150.273815407591+3.74696260714456j</v>
      </c>
      <c r="U225" s="87" t="str">
        <f t="shared" si="120"/>
        <v>-0.00663741628968794-0.000685923498461334j</v>
      </c>
      <c r="V225" s="87" t="str">
        <f t="shared" si="121"/>
        <v>-0.156943833450749-0.0162188807517951j</v>
      </c>
      <c r="X225" s="87" t="str">
        <f t="shared" si="122"/>
        <v>-0.4328918766045-0.173254807592035j</v>
      </c>
      <c r="Y225" s="87">
        <f t="shared" si="123"/>
        <v>-6.6271527992258772</v>
      </c>
      <c r="Z225" s="87">
        <f t="shared" si="124"/>
        <v>21.812596899125538</v>
      </c>
      <c r="AB225" s="87" t="str">
        <f t="shared" si="125"/>
        <v>-0.0596202747798514-0.00616127506116458j</v>
      </c>
      <c r="AC225" s="87">
        <f t="shared" si="126"/>
        <v>-24.445985719816431</v>
      </c>
      <c r="AD225" s="87">
        <f t="shared" si="127"/>
        <v>5.900113154068066</v>
      </c>
      <c r="AF225" s="87" t="str">
        <f t="shared" si="128"/>
        <v>-0.0931199798809953-0.039313066307238j</v>
      </c>
      <c r="AG225" s="87">
        <f t="shared" si="129"/>
        <v>-19.906830747298415</v>
      </c>
      <c r="AH225" s="87">
        <f t="shared" si="130"/>
        <v>22.888327827612386</v>
      </c>
      <c r="AJ225" s="87" t="str">
        <f t="shared" si="131"/>
        <v>157457.529801884-2585.97225150344j</v>
      </c>
      <c r="AK225" s="87" t="str">
        <f t="shared" si="132"/>
        <v>30000-0.000938474286551936j</v>
      </c>
      <c r="AL225" s="87" t="str">
        <f t="shared" si="146"/>
        <v>10000-21311.1859180312j</v>
      </c>
      <c r="AM225" s="87" t="str">
        <f t="shared" si="147"/>
        <v>871.836392232633-6895.95288359263j</v>
      </c>
      <c r="AN225" s="87" t="str">
        <f t="shared" si="148"/>
        <v>10871.8363922326-6895.95288359263j</v>
      </c>
      <c r="AO225" s="87" t="str">
        <f t="shared" si="149"/>
        <v>8589.43943744932-3612.41950510171j</v>
      </c>
      <c r="AP225" s="87" t="str">
        <f t="shared" si="150"/>
        <v>0.160005800168645+0.00220727207618738j</v>
      </c>
      <c r="AQ225" s="87" t="str">
        <f t="shared" si="133"/>
        <v>1+142.648091555894j</v>
      </c>
      <c r="AR225" s="87">
        <f t="shared" si="134"/>
        <v>-1.4774618438990346E-5</v>
      </c>
      <c r="AS225" s="87" t="str">
        <f t="shared" si="135"/>
        <v>0.00793926305940379j</v>
      </c>
      <c r="AT225" s="87" t="str">
        <f t="shared" si="136"/>
        <v>-0.0000147746184389903+0.00793926305940379j</v>
      </c>
      <c r="AU225" s="87" t="str">
        <f t="shared" si="137"/>
        <v>5.39013768134835-0.0478176909789981j</v>
      </c>
      <c r="AW225" s="87" t="str">
        <f t="shared" si="151"/>
        <v>0.571055209531349-0.418410901056253j</v>
      </c>
      <c r="AX225" s="87">
        <f t="shared" si="138"/>
        <v>-3.0001343072680924</v>
      </c>
      <c r="AY225" s="87">
        <f t="shared" si="139"/>
        <v>143.76984830998185</v>
      </c>
      <c r="AZ225" s="87" t="str">
        <f t="shared" si="140"/>
        <v>-0.0366244131567219+0.0214273446708254j</v>
      </c>
      <c r="BA225" s="87">
        <f t="shared" si="141"/>
        <v>-27.446120027084532</v>
      </c>
      <c r="BB225" s="87">
        <f t="shared" si="142"/>
        <v>-30.330038535950138</v>
      </c>
      <c r="BD225" s="87" t="str">
        <f t="shared" si="143"/>
        <v>-0.0696256651193924+0.0165124833709478j</v>
      </c>
      <c r="BE225" s="87">
        <f t="shared" si="144"/>
        <v>-22.906965054566513</v>
      </c>
      <c r="BF225" s="87">
        <f t="shared" si="145"/>
        <v>-13.341823862405789</v>
      </c>
      <c r="BH225" s="87">
        <f t="shared" si="152"/>
        <v>23.906965054566513</v>
      </c>
      <c r="BI225" s="107">
        <f t="shared" si="153"/>
        <v>13.341823862405789</v>
      </c>
      <c r="BJ225" s="91"/>
      <c r="BK225" s="91"/>
      <c r="BL225" s="91"/>
      <c r="BM225" s="91"/>
      <c r="BN225" s="42"/>
      <c r="BO225" s="42"/>
      <c r="BP225" s="42"/>
    </row>
    <row r="226" spans="1:68" s="87" customFormat="1">
      <c r="A226" s="87">
        <v>162</v>
      </c>
      <c r="B226" s="87">
        <f t="shared" si="103"/>
        <v>173780.08287493771</v>
      </c>
      <c r="C226" s="87" t="str">
        <f t="shared" si="104"/>
        <v>1091892.46340026j</v>
      </c>
      <c r="D226" s="87">
        <f t="shared" si="105"/>
        <v>0.40346632683416683</v>
      </c>
      <c r="E226" s="87" t="str">
        <f t="shared" si="106"/>
        <v>-1.21321384822251j</v>
      </c>
      <c r="F226" s="87" t="str">
        <f t="shared" si="107"/>
        <v>0.403466326834167-1.21321384822251j</v>
      </c>
      <c r="G226" s="87">
        <f t="shared" si="108"/>
        <v>2.134308677357653</v>
      </c>
      <c r="H226" s="87">
        <f t="shared" si="109"/>
        <v>-71.604941286199917</v>
      </c>
      <c r="J226" s="87">
        <f t="shared" si="110"/>
        <v>14.187192118226601</v>
      </c>
      <c r="K226" s="87" t="str">
        <f t="shared" si="111"/>
        <v>1+54.676515104768j</v>
      </c>
      <c r="L226" s="87">
        <f t="shared" si="112"/>
        <v>-164.86844024181346</v>
      </c>
      <c r="M226" s="87" t="str">
        <f t="shared" si="113"/>
        <v>3.92355151442029j</v>
      </c>
      <c r="N226" s="87" t="str">
        <f t="shared" si="114"/>
        <v>-164.868440241813+3.92355151442029j</v>
      </c>
      <c r="O226" s="87" t="str">
        <f t="shared" si="115"/>
        <v>0.00182585171756615-0.331593792003568j</v>
      </c>
      <c r="P226" s="87" t="str">
        <f t="shared" si="116"/>
        <v>0.025903709096505-4.70438483236589j</v>
      </c>
      <c r="R226" s="87">
        <f t="shared" si="117"/>
        <v>23.645320197044338</v>
      </c>
      <c r="S226" s="87" t="str">
        <f t="shared" si="118"/>
        <v>1+0.0818919347550195j</v>
      </c>
      <c r="T226" s="87" t="str">
        <f t="shared" si="119"/>
        <v>-164.868440241813+3.92355151442029j</v>
      </c>
      <c r="U226" s="87" t="str">
        <f t="shared" si="120"/>
        <v>-0.00605019495201902-0.00064069379298199j</v>
      </c>
      <c r="V226" s="87" t="str">
        <f t="shared" si="121"/>
        <v>-0.143058796895031-0.015149409883318j</v>
      </c>
      <c r="X226" s="87" t="str">
        <f t="shared" si="122"/>
        <v>-0.432836539154034-0.146595860162038j</v>
      </c>
      <c r="Y226" s="87">
        <f t="shared" si="123"/>
        <v>-6.8019085756092226</v>
      </c>
      <c r="Z226" s="87">
        <f t="shared" si="124"/>
        <v>18.710542726791829</v>
      </c>
      <c r="AB226" s="87" t="str">
        <f t="shared" si="125"/>
        <v>-0.0543455871634057-0.00575500139213469j</v>
      </c>
      <c r="AC226" s="87">
        <f t="shared" si="126"/>
        <v>-25.248283363028353</v>
      </c>
      <c r="AD226" s="87">
        <f t="shared" si="127"/>
        <v>6.0448874034024129</v>
      </c>
      <c r="AF226" s="87" t="str">
        <f t="shared" si="128"/>
        <v>-0.0873608755179723-0.0327273270663705j</v>
      </c>
      <c r="AG226" s="87">
        <f t="shared" si="129"/>
        <v>-20.603309911188362</v>
      </c>
      <c r="AH226" s="87">
        <f t="shared" si="130"/>
        <v>20.537067364731115</v>
      </c>
      <c r="AJ226" s="87" t="str">
        <f t="shared" si="131"/>
        <v>157453.433565231-2707.77492478032j</v>
      </c>
      <c r="AK226" s="87" t="str">
        <f t="shared" si="132"/>
        <v>30000-0.000982703217060233j</v>
      </c>
      <c r="AL226" s="87" t="str">
        <f t="shared" si="146"/>
        <v>10000-20352.0245510442j</v>
      </c>
      <c r="AM226" s="87" t="str">
        <f t="shared" si="147"/>
        <v>863.934975616543-6608.90130200311j</v>
      </c>
      <c r="AN226" s="87" t="str">
        <f t="shared" si="148"/>
        <v>10863.9349756165-6608.90130200311j</v>
      </c>
      <c r="AO226" s="87" t="str">
        <f t="shared" si="149"/>
        <v>8537.08215535941-3471.18573038735j</v>
      </c>
      <c r="AP226" s="87" t="str">
        <f t="shared" si="150"/>
        <v>0.160006359754216+0.00231129606453767j</v>
      </c>
      <c r="AQ226" s="87" t="str">
        <f t="shared" si="133"/>
        <v>1+149.370888993156j</v>
      </c>
      <c r="AR226" s="87">
        <f t="shared" si="134"/>
        <v>-1.620969479430237E-5</v>
      </c>
      <c r="AS226" s="87" t="str">
        <f t="shared" si="135"/>
        <v>0.00831342899998763j</v>
      </c>
      <c r="AT226" s="87" t="str">
        <f t="shared" si="136"/>
        <v>-0.0000162096947943024+0.00831342899998763j</v>
      </c>
      <c r="AU226" s="87" t="str">
        <f t="shared" si="137"/>
        <v>5.39013581414277-0.0465959902283004j</v>
      </c>
      <c r="AW226" s="87" t="str">
        <f t="shared" si="151"/>
        <v>0.552951921806609-0.424394849889039j</v>
      </c>
      <c r="AX226" s="87">
        <f t="shared" si="138"/>
        <v>-3.1348276121332228</v>
      </c>
      <c r="AY226" s="87">
        <f t="shared" si="139"/>
        <v>142.49348415022661</v>
      </c>
      <c r="AZ226" s="87" t="str">
        <f t="shared" si="140"/>
        <v>-0.03249288981564+0.0198817482265647j</v>
      </c>
      <c r="BA226" s="87">
        <f t="shared" si="141"/>
        <v>-28.383110975161571</v>
      </c>
      <c r="BB226" s="87">
        <f t="shared" si="142"/>
        <v>-31.461628446371009</v>
      </c>
      <c r="BD226" s="87" t="str">
        <f t="shared" si="143"/>
        <v>-0.0621956730659726+0.0189788672546819j</v>
      </c>
      <c r="BE226" s="87">
        <f t="shared" si="144"/>
        <v>-23.738137523321576</v>
      </c>
      <c r="BF226" s="87">
        <f t="shared" si="145"/>
        <v>-16.969448485042307</v>
      </c>
      <c r="BH226" s="87">
        <f t="shared" si="152"/>
        <v>24.738137523321576</v>
      </c>
      <c r="BI226" s="107">
        <f t="shared" si="153"/>
        <v>16.969448485042307</v>
      </c>
      <c r="BJ226" s="91"/>
      <c r="BK226" s="91"/>
      <c r="BL226" s="91"/>
      <c r="BM226" s="91"/>
      <c r="BN226" s="42"/>
      <c r="BO226" s="42"/>
      <c r="BP226" s="42"/>
    </row>
    <row r="227" spans="1:68" s="87" customFormat="1">
      <c r="A227" s="87">
        <v>163</v>
      </c>
      <c r="B227" s="87">
        <f t="shared" si="103"/>
        <v>181970.08586099852</v>
      </c>
      <c r="C227" s="87" t="str">
        <f t="shared" si="104"/>
        <v>1143351.76982803j</v>
      </c>
      <c r="D227" s="87">
        <f t="shared" si="105"/>
        <v>0.34591383410846421</v>
      </c>
      <c r="E227" s="87" t="str">
        <f t="shared" si="106"/>
        <v>-1.27039085536448j</v>
      </c>
      <c r="F227" s="87" t="str">
        <f t="shared" si="107"/>
        <v>0.345913834108464-1.27039085536448j</v>
      </c>
      <c r="G227" s="87">
        <f t="shared" si="108"/>
        <v>2.3893619847494016</v>
      </c>
      <c r="H227" s="87">
        <f t="shared" si="109"/>
        <v>-74.768240715571665</v>
      </c>
      <c r="J227" s="87">
        <f t="shared" si="110"/>
        <v>14.187192118226601</v>
      </c>
      <c r="K227" s="87" t="str">
        <f t="shared" si="111"/>
        <v>1+57.2533398741386j</v>
      </c>
      <c r="L227" s="87">
        <f t="shared" si="112"/>
        <v>-180.87112815342587</v>
      </c>
      <c r="M227" s="87" t="str">
        <f t="shared" si="113"/>
        <v>4.10846280049781j</v>
      </c>
      <c r="N227" s="87" t="str">
        <f t="shared" si="114"/>
        <v>-180.871128153426+4.10846280049781j</v>
      </c>
      <c r="O227" s="87" t="str">
        <f t="shared" si="115"/>
        <v>0.00166055674968493-0.316504453325156j</v>
      </c>
      <c r="P227" s="87" t="str">
        <f t="shared" si="116"/>
        <v>0.023558637630998-4.49030948559827j</v>
      </c>
      <c r="R227" s="87">
        <f t="shared" si="117"/>
        <v>23.645320197044338</v>
      </c>
      <c r="S227" s="87" t="str">
        <f t="shared" si="118"/>
        <v>1+0.0857513827371022j</v>
      </c>
      <c r="T227" s="87" t="str">
        <f t="shared" si="119"/>
        <v>-180.871128153426+4.10846280049781j</v>
      </c>
      <c r="U227" s="87" t="str">
        <f t="shared" si="120"/>
        <v>-0.00551518357251756-0.000599378742143671j</v>
      </c>
      <c r="V227" s="87" t="str">
        <f t="shared" si="121"/>
        <v>-0.130408281517657-0.0141725022772888j</v>
      </c>
      <c r="X227" s="87" t="str">
        <f t="shared" si="122"/>
        <v>-0.432785277603595-0.120285266504785j</v>
      </c>
      <c r="Y227" s="87">
        <f t="shared" si="123"/>
        <v>-6.951398720640146</v>
      </c>
      <c r="Z227" s="87">
        <f t="shared" si="124"/>
        <v>15.532361754430269</v>
      </c>
      <c r="AB227" s="87" t="str">
        <f t="shared" si="125"/>
        <v>-0.0495398730023427-0.00538389092143076j</v>
      </c>
      <c r="AC227" s="87">
        <f t="shared" si="126"/>
        <v>-26.049908716126829</v>
      </c>
      <c r="AD227" s="87">
        <f t="shared" si="127"/>
        <v>6.2024444319296492</v>
      </c>
      <c r="AF227" s="87" t="str">
        <f t="shared" si="128"/>
        <v>-0.0816539376255631-0.0268075844464066j</v>
      </c>
      <c r="AG227" s="87">
        <f t="shared" si="129"/>
        <v>-21.315899844091241</v>
      </c>
      <c r="AH227" s="87">
        <f t="shared" si="130"/>
        <v>18.175386188089306</v>
      </c>
      <c r="AJ227" s="87" t="str">
        <f t="shared" si="131"/>
        <v>157448.942376009-2835.30754903979j</v>
      </c>
      <c r="AK227" s="87" t="str">
        <f t="shared" si="132"/>
        <v>30000-0.00102901659284523j</v>
      </c>
      <c r="AL227" s="87" t="str">
        <f t="shared" si="146"/>
        <v>10000-19436.0325567735j</v>
      </c>
      <c r="AM227" s="87" t="str">
        <f t="shared" si="147"/>
        <v>855.434238290786-6335.40873323631j</v>
      </c>
      <c r="AN227" s="87" t="str">
        <f t="shared" si="148"/>
        <v>10855.4342382908-6335.40873323631j</v>
      </c>
      <c r="AO227" s="87" t="str">
        <f t="shared" si="149"/>
        <v>8488.38307994272-3335.78361552133j</v>
      </c>
      <c r="AP227" s="87" t="str">
        <f t="shared" si="150"/>
        <v>0.160006973326737+0.00242022232430374j</v>
      </c>
      <c r="AQ227" s="87" t="str">
        <f t="shared" si="133"/>
        <v>1+156.410522112474j</v>
      </c>
      <c r="AR227" s="87">
        <f t="shared" si="134"/>
        <v>-1.7783224727702415E-5</v>
      </c>
      <c r="AS227" s="87" t="str">
        <f t="shared" si="135"/>
        <v>0.00870522883808126j</v>
      </c>
      <c r="AT227" s="87" t="str">
        <f t="shared" si="136"/>
        <v>-0.0000177832247277024+0.00870522883808126j</v>
      </c>
      <c r="AU227" s="87" t="str">
        <f t="shared" si="137"/>
        <v>5.39013377450526-0.0454731251282829j</v>
      </c>
      <c r="AW227" s="87" t="str">
        <f t="shared" si="151"/>
        <v>0.534329398259114-0.429668826142439j</v>
      </c>
      <c r="AX227" s="87">
        <f t="shared" si="138"/>
        <v>-3.2778831084084818</v>
      </c>
      <c r="AY227" s="87">
        <f t="shared" si="139"/>
        <v>141.19629052397218</v>
      </c>
      <c r="AZ227" s="87" t="str">
        <f t="shared" si="140"/>
        <v>-0.0287839006234648+0.0184089678838213j</v>
      </c>
      <c r="BA227" s="87">
        <f t="shared" si="141"/>
        <v>-29.327791824535304</v>
      </c>
      <c r="BB227" s="87">
        <f t="shared" si="142"/>
        <v>-32.60126504409817</v>
      </c>
      <c r="BD227" s="87" t="str">
        <f t="shared" si="143"/>
        <v>-0.0551484826977562+0.0207600710634548j</v>
      </c>
      <c r="BE227" s="87">
        <f t="shared" si="144"/>
        <v>-24.593782952499723</v>
      </c>
      <c r="BF227" s="87">
        <f t="shared" si="145"/>
        <v>-20.628323287938457</v>
      </c>
      <c r="BH227" s="87">
        <f t="shared" si="152"/>
        <v>25.593782952499723</v>
      </c>
      <c r="BI227" s="107">
        <f t="shared" si="153"/>
        <v>20.628323287938457</v>
      </c>
      <c r="BJ227" s="91"/>
      <c r="BK227" s="91"/>
      <c r="BL227" s="91"/>
      <c r="BM227" s="91"/>
      <c r="BN227" s="42"/>
      <c r="BO227" s="42"/>
      <c r="BP227" s="42"/>
    </row>
    <row r="228" spans="1:68" s="87" customFormat="1">
      <c r="A228" s="87">
        <v>164</v>
      </c>
      <c r="B228" s="87">
        <f t="shared" si="103"/>
        <v>190546.07179632501</v>
      </c>
      <c r="C228" s="87" t="str">
        <f t="shared" si="104"/>
        <v>1197236.27865146j</v>
      </c>
      <c r="D228" s="87">
        <f t="shared" si="105"/>
        <v>0.28280878070102533</v>
      </c>
      <c r="E228" s="87" t="str">
        <f t="shared" si="106"/>
        <v>-1.33026253183496j</v>
      </c>
      <c r="F228" s="87" t="str">
        <f t="shared" si="107"/>
        <v>0.282808780701025-1.33026253183496j</v>
      </c>
      <c r="G228" s="87">
        <f t="shared" si="108"/>
        <v>2.6707293513725756</v>
      </c>
      <c r="H228" s="87">
        <f t="shared" si="109"/>
        <v>-77.997826199227248</v>
      </c>
      <c r="J228" s="87">
        <f t="shared" si="110"/>
        <v>14.187192118226601</v>
      </c>
      <c r="K228" s="87" t="str">
        <f t="shared" si="111"/>
        <v>1+59.9516066534719j</v>
      </c>
      <c r="L228" s="87">
        <f t="shared" si="112"/>
        <v>-198.41772652819759</v>
      </c>
      <c r="M228" s="87" t="str">
        <f t="shared" si="113"/>
        <v>4.30208868700644j</v>
      </c>
      <c r="N228" s="87" t="str">
        <f t="shared" si="114"/>
        <v>-198.417726528198+4.30208868700644j</v>
      </c>
      <c r="O228" s="87" t="str">
        <f t="shared" si="115"/>
        <v>0.00151059327434088-0.302115687928299j</v>
      </c>
      <c r="P228" s="87" t="str">
        <f t="shared" si="116"/>
        <v>0.021431076995575-4.28617330656897j</v>
      </c>
      <c r="R228" s="87">
        <f t="shared" si="117"/>
        <v>23.645320197044338</v>
      </c>
      <c r="S228" s="87" t="str">
        <f t="shared" si="118"/>
        <v>1+0.0897927208988595j</v>
      </c>
      <c r="T228" s="87" t="str">
        <f t="shared" si="119"/>
        <v>-198.417726528198+4.30208868700644j</v>
      </c>
      <c r="U228" s="87" t="str">
        <f t="shared" si="120"/>
        <v>-0.00502769667440058-0.000561554251392269j</v>
      </c>
      <c r="V228" s="87" t="str">
        <f t="shared" si="121"/>
        <v>-0.118881497719817-0.0132781300821817j</v>
      </c>
      <c r="X228" s="87" t="str">
        <f t="shared" si="122"/>
        <v>-0.432737868853932-0.0942623441511752j</v>
      </c>
      <c r="Y228" s="87">
        <f t="shared" si="123"/>
        <v>-7.0741732760921785</v>
      </c>
      <c r="Z228" s="87">
        <f t="shared" si="124"/>
        <v>12.28865312435758</v>
      </c>
      <c r="AB228" s="87" t="str">
        <f t="shared" si="125"/>
        <v>-0.0451610452252652-0.00504413423997772j</v>
      </c>
      <c r="AC228" s="87">
        <f t="shared" si="126"/>
        <v>-26.850876633568316</v>
      </c>
      <c r="AD228" s="87">
        <f t="shared" si="127"/>
        <v>6.37307473575936</v>
      </c>
      <c r="AF228" s="87" t="str">
        <f t="shared" si="128"/>
        <v>-0.0760351663124396-0.0215268860444491j</v>
      </c>
      <c r="AG228" s="87">
        <f t="shared" si="129"/>
        <v>-22.044847111179884</v>
      </c>
      <c r="AH228" s="87">
        <f t="shared" si="130"/>
        <v>15.80774582247642</v>
      </c>
      <c r="AJ228" s="87" t="str">
        <f t="shared" si="131"/>
        <v>157444.018179426-2968.83862413184j</v>
      </c>
      <c r="AK228" s="87" t="str">
        <f t="shared" si="132"/>
        <v>30000-0.00107751265078631j</v>
      </c>
      <c r="AL228" s="87" t="str">
        <f t="shared" si="146"/>
        <v>10000-18561.2669933898j</v>
      </c>
      <c r="AM228" s="87" t="str">
        <f t="shared" si="147"/>
        <v>846.303587729868-6074.84245387435j</v>
      </c>
      <c r="AN228" s="87" t="str">
        <f t="shared" si="148"/>
        <v>10846.3035877299-6074.84245387435j</v>
      </c>
      <c r="AO228" s="87" t="str">
        <f t="shared" si="149"/>
        <v>8443.00060711318-3206.05210697647j</v>
      </c>
      <c r="AP228" s="87" t="str">
        <f t="shared" si="150"/>
        <v>0.160007646094598+0.00253428185862382j</v>
      </c>
      <c r="AQ228" s="87" t="str">
        <f t="shared" si="133"/>
        <v>1+163.78192291952j</v>
      </c>
      <c r="AR228" s="87">
        <f t="shared" si="134"/>
        <v>-1.9508565990654657E-5</v>
      </c>
      <c r="AS228" s="87" t="str">
        <f t="shared" si="135"/>
        <v>0.00911549363367091j</v>
      </c>
      <c r="AT228" s="87" t="str">
        <f t="shared" si="136"/>
        <v>-0.0000195085659906547+0.00911549363367091j</v>
      </c>
      <c r="AU228" s="87" t="str">
        <f t="shared" si="137"/>
        <v>5.39013154512177-0.0444467138290521j</v>
      </c>
      <c r="AW228" s="87" t="str">
        <f t="shared" si="151"/>
        <v>0.515247160919165-0.434179150538428j</v>
      </c>
      <c r="AX228" s="87">
        <f t="shared" si="138"/>
        <v>-3.4295259243751213</v>
      </c>
      <c r="AY228" s="87">
        <f t="shared" si="139"/>
        <v>139.88043742522632</v>
      </c>
      <c r="AZ228" s="87" t="str">
        <f t="shared" si="140"/>
        <v>-0.0254591582559753+0.0170090084068895j</v>
      </c>
      <c r="BA228" s="87">
        <f t="shared" si="141"/>
        <v>-30.280402557943425</v>
      </c>
      <c r="BB228" s="87">
        <f t="shared" si="142"/>
        <v>-33.746487839014236</v>
      </c>
      <c r="BD228" s="87" t="str">
        <f t="shared" si="143"/>
        <v>-0.0485234286690176+0.0219212170027503j</v>
      </c>
      <c r="BE228" s="87">
        <f t="shared" si="144"/>
        <v>-25.47437303555499</v>
      </c>
      <c r="BF228" s="87">
        <f t="shared" si="145"/>
        <v>-24.311816752297176</v>
      </c>
      <c r="BH228" s="87">
        <f t="shared" si="152"/>
        <v>26.47437303555499</v>
      </c>
      <c r="BI228" s="107">
        <f t="shared" si="153"/>
        <v>24.311816752297176</v>
      </c>
      <c r="BJ228" s="91"/>
      <c r="BK228" s="91"/>
      <c r="BL228" s="91"/>
      <c r="BM228" s="91"/>
      <c r="BN228" s="42"/>
      <c r="BO228" s="42"/>
      <c r="BP228" s="42"/>
    </row>
    <row r="229" spans="1:68" s="87" customFormat="1">
      <c r="A229" s="87">
        <v>165</v>
      </c>
      <c r="B229" s="87">
        <f t="shared" si="103"/>
        <v>199526.23149688821</v>
      </c>
      <c r="C229" s="87" t="str">
        <f t="shared" si="104"/>
        <v>1253660.28613816j</v>
      </c>
      <c r="D229" s="87">
        <f t="shared" si="105"/>
        <v>0.21361546557333932</v>
      </c>
      <c r="E229" s="87" t="str">
        <f t="shared" si="106"/>
        <v>-1.39295587348684j</v>
      </c>
      <c r="F229" s="87" t="str">
        <f t="shared" si="107"/>
        <v>0.213615465573339-1.39295587348684j</v>
      </c>
      <c r="G229" s="87">
        <f t="shared" si="108"/>
        <v>2.9796997924577102</v>
      </c>
      <c r="H229" s="87">
        <f t="shared" si="109"/>
        <v>-81.281381683759818</v>
      </c>
      <c r="J229" s="87">
        <f t="shared" si="110"/>
        <v>14.187192118226601</v>
      </c>
      <c r="K229" s="87" t="str">
        <f t="shared" si="111"/>
        <v>1+62.7770388283684j</v>
      </c>
      <c r="L229" s="87">
        <f t="shared" si="112"/>
        <v>-217.65718906261017</v>
      </c>
      <c r="M229" s="87" t="str">
        <f t="shared" si="113"/>
        <v>4.50483988041124j</v>
      </c>
      <c r="N229" s="87" t="str">
        <f t="shared" si="114"/>
        <v>-217.65718906261+4.50483988041124j</v>
      </c>
      <c r="O229" s="87" t="str">
        <f t="shared" si="115"/>
        <v>0.00137447819156606-0.288393171365178j</v>
      </c>
      <c r="P229" s="87" t="str">
        <f t="shared" si="116"/>
        <v>0.0194999861660604-4.09148932774243j</v>
      </c>
      <c r="R229" s="87">
        <f t="shared" si="117"/>
        <v>23.645320197044338</v>
      </c>
      <c r="S229" s="87" t="str">
        <f t="shared" si="118"/>
        <v>1+0.094024521460362j</v>
      </c>
      <c r="T229" s="87" t="str">
        <f t="shared" si="119"/>
        <v>-217.65718906261+4.50483988041124j</v>
      </c>
      <c r="U229" s="87" t="str">
        <f t="shared" si="120"/>
        <v>-0.00458347659662175-0.00052684843591713j</v>
      </c>
      <c r="V229" s="87" t="str">
        <f t="shared" si="121"/>
        <v>-0.10837777174278-0.0124574999625725j</v>
      </c>
      <c r="X229" s="87" t="str">
        <f t="shared" si="122"/>
        <v>-0.432694086124598-0.0684676596314848j</v>
      </c>
      <c r="Y229" s="87">
        <f t="shared" si="123"/>
        <v>-7.1689788534938597</v>
      </c>
      <c r="Z229" s="87">
        <f t="shared" si="124"/>
        <v>8.9916872060896083</v>
      </c>
      <c r="AB229" s="87" t="str">
        <f t="shared" si="125"/>
        <v>-0.0411708595951957-0.00473239091022736j</v>
      </c>
      <c r="AC229" s="87">
        <f t="shared" si="126"/>
        <v>-27.651196392921406</v>
      </c>
      <c r="AD229" s="87">
        <f t="shared" si="127"/>
        <v>6.5570951095595547</v>
      </c>
      <c r="AF229" s="87" t="str">
        <f t="shared" si="128"/>
        <v>-0.0705383649317989-0.0168550819539656j</v>
      </c>
      <c r="AG229" s="87">
        <f t="shared" si="129"/>
        <v>-22.790345084009651</v>
      </c>
      <c r="AH229" s="87">
        <f t="shared" si="130"/>
        <v>13.438789325125242</v>
      </c>
      <c r="AJ229" s="87" t="str">
        <f t="shared" si="131"/>
        <v>157438.619259242-3108.64907539838j</v>
      </c>
      <c r="AK229" s="87" t="str">
        <f t="shared" si="132"/>
        <v>30000-0.00112829425752434j</v>
      </c>
      <c r="AL229" s="87" t="str">
        <f t="shared" si="146"/>
        <v>10000-17725.8723658518j</v>
      </c>
      <c r="AM229" s="87" t="str">
        <f t="shared" si="147"/>
        <v>836.513467376074-5826.59257615475j</v>
      </c>
      <c r="AN229" s="87" t="str">
        <f t="shared" si="148"/>
        <v>10836.5134673761-5826.59257615475j</v>
      </c>
      <c r="AO229" s="87" t="str">
        <f t="shared" si="149"/>
        <v>8400.61710916712-3081.82055870659j</v>
      </c>
      <c r="AP229" s="87" t="str">
        <f t="shared" si="150"/>
        <v>0.16000838376865+0.00265371655247167j</v>
      </c>
      <c r="AQ229" s="87" t="str">
        <f t="shared" si="133"/>
        <v>1+171.5007271437j</v>
      </c>
      <c r="AR229" s="87">
        <f t="shared" si="134"/>
        <v>-2.1400365066387339E-5</v>
      </c>
      <c r="AS229" s="87" t="str">
        <f t="shared" si="135"/>
        <v>0.009545093613393j</v>
      </c>
      <c r="AT229" s="87" t="str">
        <f t="shared" si="136"/>
        <v>-0.0000214003650663873+0.009545093613393j</v>
      </c>
      <c r="AU229" s="87" t="str">
        <f t="shared" si="137"/>
        <v>5.39012910706737-0.0435145790569734j</v>
      </c>
      <c r="AW229" s="87" t="str">
        <f t="shared" si="151"/>
        <v>0.495771687016526-0.437878174056885j</v>
      </c>
      <c r="AX229" s="87">
        <f t="shared" si="138"/>
        <v>-3.5899527930512005</v>
      </c>
      <c r="AY229" s="87">
        <f t="shared" si="139"/>
        <v>138.54823854248878</v>
      </c>
      <c r="AZ229" s="87" t="str">
        <f t="shared" si="140"/>
        <v>-0.0224835572081244+0.0156816353987116j</v>
      </c>
      <c r="BA229" s="87">
        <f t="shared" si="141"/>
        <v>-31.241149185972613</v>
      </c>
      <c r="BB229" s="87">
        <f t="shared" si="142"/>
        <v>-34.894666347951727</v>
      </c>
      <c r="BD229" s="87" t="str">
        <f t="shared" si="143"/>
        <v>-0.0423513966912068+0.0225309380221751j</v>
      </c>
      <c r="BE229" s="87">
        <f t="shared" si="144"/>
        <v>-26.380297877060855</v>
      </c>
      <c r="BF229" s="87">
        <f t="shared" si="145"/>
        <v>-28.012972132386153</v>
      </c>
      <c r="BH229" s="87">
        <f t="shared" si="152"/>
        <v>27.380297877060855</v>
      </c>
      <c r="BI229" s="107">
        <f t="shared" si="153"/>
        <v>28.012972132386153</v>
      </c>
      <c r="BJ229" s="91"/>
      <c r="BK229" s="91"/>
      <c r="BL229" s="91"/>
      <c r="BM229" s="91"/>
      <c r="BN229" s="42"/>
      <c r="BO229" s="42"/>
      <c r="BP229" s="42"/>
    </row>
    <row r="230" spans="1:68" s="87" customFormat="1">
      <c r="A230" s="87">
        <v>166</v>
      </c>
      <c r="B230" s="87">
        <f t="shared" si="103"/>
        <v>208929.61308540421</v>
      </c>
      <c r="C230" s="87" t="str">
        <f t="shared" si="104"/>
        <v>1312743.47517293j</v>
      </c>
      <c r="D230" s="87">
        <f t="shared" si="105"/>
        <v>0.13774650421695112</v>
      </c>
      <c r="E230" s="87" t="str">
        <f t="shared" si="106"/>
        <v>-1.45860386130326j</v>
      </c>
      <c r="F230" s="87" t="str">
        <f t="shared" si="107"/>
        <v>0.137746504216951-1.45860386130326j</v>
      </c>
      <c r="G230" s="87">
        <f t="shared" si="108"/>
        <v>3.3173075596821695</v>
      </c>
      <c r="H230" s="87">
        <f t="shared" si="109"/>
        <v>-84.605145294924426</v>
      </c>
      <c r="J230" s="87">
        <f t="shared" si="110"/>
        <v>14.187192118226601</v>
      </c>
      <c r="K230" s="87" t="str">
        <f t="shared" si="111"/>
        <v>1+65.7356295192845j</v>
      </c>
      <c r="L230" s="87">
        <f t="shared" si="112"/>
        <v>-238.75284023711168</v>
      </c>
      <c r="M230" s="87" t="str">
        <f t="shared" si="113"/>
        <v>4.71714644317682j</v>
      </c>
      <c r="N230" s="87" t="str">
        <f t="shared" si="114"/>
        <v>-238.752840237112+4.71714644317682j</v>
      </c>
      <c r="O230" s="87" t="str">
        <f t="shared" si="115"/>
        <v>0.0012508818562011-0.275304490037093j</v>
      </c>
      <c r="P230" s="87" t="str">
        <f t="shared" si="116"/>
        <v>0.0177465012111289-3.90579769116664j</v>
      </c>
      <c r="R230" s="87">
        <f t="shared" si="117"/>
        <v>23.645320197044338</v>
      </c>
      <c r="S230" s="87" t="str">
        <f t="shared" si="118"/>
        <v>1+0.0984557606379697j</v>
      </c>
      <c r="T230" s="87" t="str">
        <f t="shared" si="119"/>
        <v>-238.752840237112+4.71714644317682j</v>
      </c>
      <c r="U230" s="87" t="str">
        <f t="shared" si="120"/>
        <v>-0.00417865320163562-0.000494934760181197j</v>
      </c>
      <c r="V230" s="87" t="str">
        <f t="shared" si="121"/>
        <v>-0.0988055929450787-0.0117028908811318j</v>
      </c>
      <c r="X230" s="87" t="str">
        <f t="shared" si="122"/>
        <v>-0.432653703324113-0.0428428179330495j</v>
      </c>
      <c r="Y230" s="87">
        <f t="shared" si="123"/>
        <v>-7.2348136430314067</v>
      </c>
      <c r="Z230" s="87">
        <f t="shared" si="124"/>
        <v>5.6551837604628759</v>
      </c>
      <c r="AB230" s="87" t="str">
        <f t="shared" si="125"/>
        <v>-0.0375345527864932-0.00444572784231533j</v>
      </c>
      <c r="AC230" s="87">
        <f t="shared" si="126"/>
        <v>-28.450871809417894</v>
      </c>
      <c r="AD230" s="87">
        <f t="shared" si="127"/>
        <v>6.7548484655589789</v>
      </c>
      <c r="AF230" s="87" t="str">
        <f t="shared" si="128"/>
        <v>-0.065194601048271-0.0127591354833142j</v>
      </c>
      <c r="AG230" s="87">
        <f t="shared" si="129"/>
        <v>-23.552531271560071</v>
      </c>
      <c r="AH230" s="87">
        <f t="shared" si="130"/>
        <v>11.07330903433251</v>
      </c>
      <c r="AJ230" s="87" t="str">
        <f t="shared" si="131"/>
        <v>157432.699886539-3255.03280548986j</v>
      </c>
      <c r="AK230" s="87" t="str">
        <f t="shared" si="132"/>
        <v>30000-0.00118146912765564j</v>
      </c>
      <c r="AL230" s="87" t="str">
        <f t="shared" si="146"/>
        <v>10000-16928.0766901507j</v>
      </c>
      <c r="AM230" s="87" t="str">
        <f t="shared" si="147"/>
        <v>826.035892639074-5590.07066435315j</v>
      </c>
      <c r="AN230" s="87" t="str">
        <f t="shared" si="148"/>
        <v>10826.0358926391-5590.07066435315j</v>
      </c>
      <c r="AO230" s="87" t="str">
        <f t="shared" si="149"/>
        <v>8360.93794252443-2962.91046336582j</v>
      </c>
      <c r="AP230" s="87" t="str">
        <f t="shared" si="150"/>
        <v>0.160009192610674+0.00277877968476027j</v>
      </c>
      <c r="AQ230" s="87" t="str">
        <f t="shared" si="133"/>
        <v>1+179.583307403657j</v>
      </c>
      <c r="AR230" s="87">
        <f t="shared" si="134"/>
        <v>-2.3474681504412493E-5</v>
      </c>
      <c r="AS230" s="87" t="str">
        <f t="shared" si="135"/>
        <v>0.00999494001640215j</v>
      </c>
      <c r="AT230" s="87" t="str">
        <f t="shared" si="136"/>
        <v>-0.0000234746815044125+0.00999494001640215j</v>
      </c>
      <c r="AU230" s="87" t="str">
        <f t="shared" si="137"/>
        <v>5.39012643964602-0.0426747434941326j</v>
      </c>
      <c r="AW230" s="87" t="str">
        <f t="shared" si="151"/>
        <v>0.475975613187648-0.440725361050117j</v>
      </c>
      <c r="AX230" s="87">
        <f t="shared" si="138"/>
        <v>-3.7593290918964861</v>
      </c>
      <c r="AY230" s="87">
        <f t="shared" si="139"/>
        <v>137.20213148336097</v>
      </c>
      <c r="AZ230" s="87" t="str">
        <f t="shared" si="140"/>
        <v>-0.0198248767867102+0.0144263712928705j</v>
      </c>
      <c r="BA230" s="87">
        <f t="shared" si="141"/>
        <v>-32.21020090131438</v>
      </c>
      <c r="BB230" s="87">
        <f t="shared" si="142"/>
        <v>-36.043020051080134</v>
      </c>
      <c r="BD230" s="87" t="str">
        <f t="shared" si="143"/>
        <v>-0.0366543148030458+0.0226598767501029j</v>
      </c>
      <c r="BE230" s="87">
        <f t="shared" si="144"/>
        <v>-27.31186036345656</v>
      </c>
      <c r="BF230" s="87">
        <f t="shared" si="145"/>
        <v>-31.724559482306631</v>
      </c>
      <c r="BH230" s="87">
        <f t="shared" si="152"/>
        <v>28.31186036345656</v>
      </c>
      <c r="BI230" s="107">
        <f t="shared" si="153"/>
        <v>31.724559482306631</v>
      </c>
      <c r="BJ230" s="91"/>
      <c r="BK230" s="91"/>
      <c r="BL230" s="91"/>
      <c r="BM230" s="91"/>
      <c r="BN230" s="42"/>
      <c r="BO230" s="42"/>
      <c r="BP230" s="42"/>
    </row>
    <row r="231" spans="1:68" s="87" customFormat="1">
      <c r="A231" s="87">
        <v>167</v>
      </c>
      <c r="B231" s="87">
        <f t="shared" si="103"/>
        <v>218776.16239495529</v>
      </c>
      <c r="C231" s="87" t="str">
        <f t="shared" si="104"/>
        <v>1374611.16912112j</v>
      </c>
      <c r="D231" s="87">
        <f t="shared" si="105"/>
        <v>5.4557842325650974E-2</v>
      </c>
      <c r="E231" s="87" t="str">
        <f t="shared" si="106"/>
        <v>-1.52734574346791j</v>
      </c>
      <c r="F231" s="87" t="str">
        <f t="shared" si="107"/>
        <v>0.054557842325651-1.52734574346791j</v>
      </c>
      <c r="G231" s="87">
        <f t="shared" si="108"/>
        <v>3.6842851030020367</v>
      </c>
      <c r="H231" s="87">
        <f t="shared" si="109"/>
        <v>-87.954225096274627</v>
      </c>
      <c r="J231" s="87">
        <f t="shared" si="110"/>
        <v>14.187192118226601</v>
      </c>
      <c r="K231" s="87" t="str">
        <f t="shared" si="111"/>
        <v>1+68.8336542937401j</v>
      </c>
      <c r="L231" s="87">
        <f t="shared" si="112"/>
        <v>-261.8837617833924</v>
      </c>
      <c r="M231" s="87" t="str">
        <f t="shared" si="113"/>
        <v>4.9394587059872j</v>
      </c>
      <c r="N231" s="87" t="str">
        <f t="shared" si="114"/>
        <v>-261.883761783392+4.9394587059872j</v>
      </c>
      <c r="O231" s="87" t="str">
        <f t="shared" si="115"/>
        <v>0.00113861061600191-0.262819006817799j</v>
      </c>
      <c r="P231" s="87" t="str">
        <f t="shared" si="116"/>
        <v>0.0161536875570714-3.72866374204562j</v>
      </c>
      <c r="R231" s="87">
        <f t="shared" si="117"/>
        <v>23.645320197044338</v>
      </c>
      <c r="S231" s="87" t="str">
        <f t="shared" si="118"/>
        <v>1+0.103095837684084j</v>
      </c>
      <c r="T231" s="87" t="str">
        <f t="shared" si="119"/>
        <v>-261.883761783392+4.9394587059872j</v>
      </c>
      <c r="U231" s="87" t="str">
        <f t="shared" si="120"/>
        <v>-0.00380970758236318-0.000465526117919025j</v>
      </c>
      <c r="V231" s="87" t="str">
        <f t="shared" si="121"/>
        <v>-0.0900817556420851-0.0110075141182824j</v>
      </c>
      <c r="X231" s="87" t="str">
        <f t="shared" si="122"/>
        <v>-0.432616498324387-0.0173302654868822j</v>
      </c>
      <c r="Y231" s="87">
        <f t="shared" si="123"/>
        <v>-7.2709747404470804</v>
      </c>
      <c r="Z231" s="87">
        <f t="shared" si="124"/>
        <v>2.293995819922003</v>
      </c>
      <c r="AB231" s="87" t="str">
        <f t="shared" si="125"/>
        <v>-0.0342205163844041-0.00418156611792611j</v>
      </c>
      <c r="AC231" s="87">
        <f t="shared" si="126"/>
        <v>-29.24990130527511</v>
      </c>
      <c r="AD231" s="87">
        <f t="shared" si="127"/>
        <v>6.9667036728932032</v>
      </c>
      <c r="AF231" s="87" t="str">
        <f t="shared" si="128"/>
        <v>-0.0600317362700776-0.00920353170246137j</v>
      </c>
      <c r="AG231" s="87">
        <f t="shared" si="129"/>
        <v>-24.331485219634533</v>
      </c>
      <c r="AH231" s="87">
        <f t="shared" si="130"/>
        <v>8.7162125143837272</v>
      </c>
      <c r="AJ231" s="87" t="str">
        <f t="shared" si="131"/>
        <v>157426.209935014-3408.29726720295j</v>
      </c>
      <c r="AK231" s="87" t="str">
        <f t="shared" si="132"/>
        <v>29999.9999999999-0.00123715005220901j</v>
      </c>
      <c r="AL231" s="87" t="str">
        <f t="shared" si="146"/>
        <v>10000-16166.1877346962j</v>
      </c>
      <c r="AM231" s="87" t="str">
        <f t="shared" si="147"/>
        <v>814.845048148208-5364.70846727081j</v>
      </c>
      <c r="AN231" s="87" t="str">
        <f t="shared" si="148"/>
        <v>10814.8450481482-5364.70846727081j</v>
      </c>
      <c r="AO231" s="87" t="str">
        <f t="shared" si="149"/>
        <v>8323.69049049959-2849.13697723342j</v>
      </c>
      <c r="AP231" s="87" t="str">
        <f t="shared" si="150"/>
        <v>0.160010079486526+0.00290973646446979j</v>
      </c>
      <c r="AQ231" s="87" t="str">
        <f t="shared" si="133"/>
        <v>1+188.046807935769j</v>
      </c>
      <c r="AR231" s="87">
        <f t="shared" si="134"/>
        <v>-2.5749124250608212E-5</v>
      </c>
      <c r="AS231" s="87" t="str">
        <f t="shared" si="135"/>
        <v>0.010465987027231j</v>
      </c>
      <c r="AT231" s="87" t="str">
        <f t="shared" si="136"/>
        <v>-0.0000257491242506082+0.010465987027231j</v>
      </c>
      <c r="AU231" s="87" t="str">
        <f t="shared" si="137"/>
        <v>5.39012352021456-0.0419254255815966j</v>
      </c>
      <c r="AW231" s="87" t="str">
        <f t="shared" si="151"/>
        <v>0.455936741662943-0.442688243857525j</v>
      </c>
      <c r="AX231" s="87">
        <f t="shared" si="138"/>
        <v>-3.9377862915278565</v>
      </c>
      <c r="AY231" s="87">
        <f t="shared" si="139"/>
        <v>135.84465492376421</v>
      </c>
      <c r="AZ231" s="87" t="str">
        <f t="shared" si="140"/>
        <v>-0.0174535208996474+0.0132424906712541j</v>
      </c>
      <c r="BA231" s="87">
        <f t="shared" si="141"/>
        <v>-33.187687596802967</v>
      </c>
      <c r="BB231" s="87">
        <f t="shared" si="142"/>
        <v>-37.188641403342558</v>
      </c>
      <c r="BD231" s="87" t="str">
        <f t="shared" si="143"/>
        <v>-0.031444969517998+0.0223791156489068j</v>
      </c>
      <c r="BE231" s="87">
        <f t="shared" si="144"/>
        <v>-28.269271511162401</v>
      </c>
      <c r="BF231" s="87">
        <f t="shared" si="145"/>
        <v>-35.43913256185192</v>
      </c>
      <c r="BH231" s="87">
        <f t="shared" si="152"/>
        <v>29.269271511162401</v>
      </c>
      <c r="BI231" s="107">
        <f t="shared" si="153"/>
        <v>35.43913256185192</v>
      </c>
      <c r="BJ231" s="91"/>
      <c r="BK231" s="91"/>
      <c r="BL231" s="91"/>
      <c r="BM231" s="91"/>
      <c r="BN231" s="42"/>
      <c r="BO231" s="42"/>
      <c r="BP231" s="42"/>
    </row>
    <row r="232" spans="1:68" s="87" customFormat="1">
      <c r="A232" s="87">
        <v>168</v>
      </c>
      <c r="B232" s="87">
        <f t="shared" si="103"/>
        <v>229086.7652767775</v>
      </c>
      <c r="C232" s="87" t="str">
        <f t="shared" si="104"/>
        <v>1439394.59765635j</v>
      </c>
      <c r="D232" s="87">
        <f t="shared" si="105"/>
        <v>-3.665671160449735E-2</v>
      </c>
      <c r="E232" s="87" t="str">
        <f t="shared" si="106"/>
        <v>-1.59932733072928j</v>
      </c>
      <c r="F232" s="87" t="str">
        <f t="shared" si="107"/>
        <v>-0.0366567116044973-1.59932733072928j</v>
      </c>
      <c r="G232" s="87">
        <f t="shared" si="108"/>
        <v>4.081028058968422</v>
      </c>
      <c r="H232" s="87">
        <f t="shared" si="109"/>
        <v>-91.312994008227534</v>
      </c>
      <c r="J232" s="87">
        <f t="shared" si="110"/>
        <v>14.187192118226601</v>
      </c>
      <c r="K232" s="87" t="str">
        <f t="shared" si="111"/>
        <v>1+72.0776844776417j</v>
      </c>
      <c r="L232" s="87">
        <f t="shared" si="112"/>
        <v>-287.24631291559069</v>
      </c>
      <c r="M232" s="87" t="str">
        <f t="shared" si="113"/>
        <v>5.17224822295776j</v>
      </c>
      <c r="N232" s="87" t="str">
        <f t="shared" si="114"/>
        <v>-287.246312915591+5.17224822295776j</v>
      </c>
      <c r="O232" s="87" t="str">
        <f t="shared" si="115"/>
        <v>0.00103659157608883-0.250907739205283j</v>
      </c>
      <c r="P232" s="87" t="str">
        <f t="shared" si="116"/>
        <v>0.0147063238381075-3.55967630005525j</v>
      </c>
      <c r="R232" s="87">
        <f t="shared" si="117"/>
        <v>23.645320197044338</v>
      </c>
      <c r="S232" s="87" t="str">
        <f t="shared" si="118"/>
        <v>1+0.107954594824226j</v>
      </c>
      <c r="T232" s="87" t="str">
        <f t="shared" si="119"/>
        <v>-287.246312915591+5.17224822295776j</v>
      </c>
      <c r="U232" s="87" t="str">
        <f t="shared" si="120"/>
        <v>-0.00347343933809464-0.000438369718274643j</v>
      </c>
      <c r="V232" s="87" t="str">
        <f t="shared" si="121"/>
        <v>-0.0821305853342575-0.0103653923532921j</v>
      </c>
      <c r="X232" s="87" t="str">
        <f t="shared" si="122"/>
        <v>-0.432582255362984+0.00812689528523597j</v>
      </c>
      <c r="Y232" s="87">
        <f t="shared" si="123"/>
        <v>-7.2770934206059223</v>
      </c>
      <c r="Z232" s="87">
        <f t="shared" si="124"/>
        <v>-1.0762855484806266</v>
      </c>
      <c r="AB232" s="87" t="str">
        <f t="shared" si="125"/>
        <v>-0.0312000029424227-0.00393763505527077j</v>
      </c>
      <c r="AC232" s="87">
        <f t="shared" si="126"/>
        <v>-30.048277935602869</v>
      </c>
      <c r="AD232" s="87">
        <f t="shared" si="127"/>
        <v>7.1930554008855268</v>
      </c>
      <c r="AF232" s="87" t="str">
        <f t="shared" si="128"/>
        <v>-0.0550740435477585-0.0061507665267963j</v>
      </c>
      <c r="AG232" s="87">
        <f t="shared" si="129"/>
        <v>-25.127227005818074</v>
      </c>
      <c r="AH232" s="87">
        <f t="shared" si="130"/>
        <v>6.372487188196402</v>
      </c>
      <c r="AJ232" s="87" t="str">
        <f t="shared" si="131"/>
        <v>157419.094459649-3568.76405759748j</v>
      </c>
      <c r="AK232" s="87" t="str">
        <f t="shared" si="132"/>
        <v>29999.9999999999-0.00129545513789071j</v>
      </c>
      <c r="AL232" s="87" t="str">
        <f t="shared" si="146"/>
        <v>10000-15438.5894308655j</v>
      </c>
      <c r="AM232" s="87" t="str">
        <f t="shared" si="147"/>
        <v>802.917941442137-5149.95677942235j</v>
      </c>
      <c r="AN232" s="87" t="str">
        <f t="shared" si="148"/>
        <v>10802.9179414421-5149.95677942235j</v>
      </c>
      <c r="AO232" s="87" t="str">
        <f t="shared" si="149"/>
        <v>8288.62325638651-2740.31027067692j</v>
      </c>
      <c r="AP232" s="87" t="str">
        <f t="shared" si="150"/>
        <v>0.16001105192441+0.00304686459191673j</v>
      </c>
      <c r="AQ232" s="87" t="str">
        <f t="shared" si="133"/>
        <v>1+196.909180959389j</v>
      </c>
      <c r="AR232" s="87">
        <f t="shared" si="134"/>
        <v>-2.8243001130188134E-5</v>
      </c>
      <c r="AS232" s="87" t="str">
        <f t="shared" si="135"/>
        <v>0.010959233799744j</v>
      </c>
      <c r="AT232" s="87" t="str">
        <f t="shared" si="136"/>
        <v>-0.0000282430011301881+0.010959233799744j</v>
      </c>
      <c r="AU232" s="87" t="str">
        <f t="shared" si="137"/>
        <v>5.39012032399068-0.041265035737524j</v>
      </c>
      <c r="AW232" s="87" t="str">
        <f t="shared" si="151"/>
        <v>0.435736873761592-0.443743207623778j</v>
      </c>
      <c r="AX232" s="87">
        <f t="shared" si="138"/>
        <v>-4.1254198981777135</v>
      </c>
      <c r="AY232" s="87">
        <f t="shared" si="139"/>
        <v>134.4784231299142</v>
      </c>
      <c r="AZ232" s="87" t="str">
        <f t="shared" si="140"/>
        <v>-0.0153422905533614+0.0121290165945442j</v>
      </c>
      <c r="BA232" s="87">
        <f t="shared" si="141"/>
        <v>-34.173697833780594</v>
      </c>
      <c r="BB232" s="87">
        <f t="shared" si="142"/>
        <v>-38.32852146920024</v>
      </c>
      <c r="BD232" s="87" t="str">
        <f t="shared" si="143"/>
        <v>-0.0267271524288556+0.0217586169630703j</v>
      </c>
      <c r="BE232" s="87">
        <f t="shared" si="144"/>
        <v>-29.252646903995796</v>
      </c>
      <c r="BF232" s="87">
        <f t="shared" si="145"/>
        <v>-39.149089681889365</v>
      </c>
      <c r="BH232" s="87">
        <f t="shared" si="152"/>
        <v>30.252646903995796</v>
      </c>
      <c r="BI232" s="107">
        <f t="shared" si="153"/>
        <v>39.149089681889365</v>
      </c>
      <c r="BJ232" s="91"/>
      <c r="BK232" s="91"/>
      <c r="BL232" s="91"/>
      <c r="BM232" s="91"/>
      <c r="BN232" s="42"/>
      <c r="BO232" s="42"/>
      <c r="BP232" s="42"/>
    </row>
    <row r="233" spans="1:68" s="87" customFormat="1">
      <c r="A233" s="87">
        <v>169</v>
      </c>
      <c r="B233" s="87">
        <f t="shared" si="103"/>
        <v>239883.29190194918</v>
      </c>
      <c r="C233" s="87" t="str">
        <f t="shared" si="104"/>
        <v>1507231.1751162j</v>
      </c>
      <c r="D233" s="87">
        <f t="shared" si="105"/>
        <v>-0.13667148115981864</v>
      </c>
      <c r="E233" s="87" t="str">
        <f t="shared" si="106"/>
        <v>-1.67470130568467j</v>
      </c>
      <c r="F233" s="87" t="str">
        <f t="shared" si="107"/>
        <v>-0.136671481159819-1.67470130568467j</v>
      </c>
      <c r="G233" s="87">
        <f t="shared" si="108"/>
        <v>4.5075757529644989</v>
      </c>
      <c r="H233" s="87">
        <f t="shared" si="109"/>
        <v>-94.665538707069913</v>
      </c>
      <c r="J233" s="87">
        <f t="shared" si="110"/>
        <v>14.187192118226601</v>
      </c>
      <c r="K233" s="87" t="str">
        <f t="shared" si="111"/>
        <v>1+75.4746010939437j</v>
      </c>
      <c r="L233" s="87">
        <f t="shared" si="112"/>
        <v>-315.05579723060907</v>
      </c>
      <c r="M233" s="87" t="str">
        <f t="shared" si="113"/>
        <v>5.41600877186459j</v>
      </c>
      <c r="N233" s="87" t="str">
        <f t="shared" si="114"/>
        <v>-315.055797230609+5.41600877186459j</v>
      </c>
      <c r="O233" s="87" t="str">
        <f t="shared" si="115"/>
        <v>0.000943859271957489-0.239543248552276j</v>
      </c>
      <c r="P233" s="87" t="str">
        <f t="shared" si="116"/>
        <v>0.0133907128238304-3.39844608783525j</v>
      </c>
      <c r="R233" s="87">
        <f t="shared" si="117"/>
        <v>23.645320197044338</v>
      </c>
      <c r="S233" s="87" t="str">
        <f t="shared" si="118"/>
        <v>1+0.113042338133715j</v>
      </c>
      <c r="T233" s="87" t="str">
        <f t="shared" si="119"/>
        <v>-315.055797230609+5.41600877186459j</v>
      </c>
      <c r="U233" s="87" t="str">
        <f t="shared" si="120"/>
        <v>-0.0031669370406064-0.000413242663902752j</v>
      </c>
      <c r="V233" s="87" t="str">
        <f t="shared" si="121"/>
        <v>-0.0748832403690183-0.00977125510706015j</v>
      </c>
      <c r="X233" s="87" t="str">
        <f t="shared" si="122"/>
        <v>-0.432550766753859+0.0335850815880502j</v>
      </c>
      <c r="Y233" s="87">
        <f t="shared" si="123"/>
        <v>-7.2531548728994455</v>
      </c>
      <c r="Z233" s="87">
        <f t="shared" si="124"/>
        <v>-4.4397804225112623</v>
      </c>
      <c r="AB233" s="87" t="str">
        <f t="shared" si="125"/>
        <v>-0.0284468606955976-0.00371193248959201j</v>
      </c>
      <c r="AC233" s="87">
        <f t="shared" si="126"/>
        <v>-30.845989372389482</v>
      </c>
      <c r="AD233" s="87">
        <f t="shared" si="127"/>
        <v>7.4343239493700253</v>
      </c>
      <c r="AF233" s="87" t="str">
        <f t="shared" si="128"/>
        <v>-0.0503419258830964-0.00356189537863366j</v>
      </c>
      <c r="AG233" s="87">
        <f t="shared" si="129"/>
        <v>-25.939716347256962</v>
      </c>
      <c r="AH233" s="87">
        <f t="shared" si="130"/>
        <v>4.0471641593562708</v>
      </c>
      <c r="AJ233" s="87" t="str">
        <f t="shared" si="131"/>
        <v>157411.293235321-3736.76953355423j</v>
      </c>
      <c r="AK233" s="87" t="str">
        <f t="shared" si="132"/>
        <v>29999.9999999999-0.00135650805760458j</v>
      </c>
      <c r="AL233" s="87" t="str">
        <f t="shared" si="146"/>
        <v>10000-14743.7384451055j</v>
      </c>
      <c r="AM233" s="87" t="str">
        <f t="shared" si="147"/>
        <v>790.235104975476-4945.28444410212j</v>
      </c>
      <c r="AN233" s="87" t="str">
        <f t="shared" si="148"/>
        <v>10790.2351049755-4945.28444410212j</v>
      </c>
      <c r="AO233" s="87" t="str">
        <f t="shared" si="149"/>
        <v>8255.50501654153-2636.23673529204j</v>
      </c>
      <c r="AP233" s="87" t="str">
        <f t="shared" si="150"/>
        <v>0.160012118178758+0.00319045484632963j</v>
      </c>
      <c r="AQ233" s="87" t="str">
        <f t="shared" si="133"/>
        <v>1+206.189224755896j</v>
      </c>
      <c r="AR233" s="87">
        <f t="shared" si="134"/>
        <v>-3.0977482752512748E-5</v>
      </c>
      <c r="AS233" s="87" t="str">
        <f t="shared" si="135"/>
        <v>0.0114757265764762j</v>
      </c>
      <c r="AT233" s="87" t="str">
        <f t="shared" si="136"/>
        <v>-0.0000309774827525127+0.0114757265764762j</v>
      </c>
      <c r="AU233" s="87" t="str">
        <f t="shared" si="137"/>
        <v>5.39011682384262-0.0406921729820442j</v>
      </c>
      <c r="AW233" s="87" t="str">
        <f t="shared" si="151"/>
        <v>0.415460505689278-0.443876069991144j</v>
      </c>
      <c r="AX233" s="87">
        <f t="shared" si="138"/>
        <v>-4.3222879609065847</v>
      </c>
      <c r="AY233" s="87">
        <f t="shared" si="139"/>
        <v>133.10609841665746</v>
      </c>
      <c r="AZ233" s="87" t="str">
        <f t="shared" si="140"/>
        <v>-0.013466185135418+0.0110847193799371j</v>
      </c>
      <c r="BA233" s="87">
        <f t="shared" si="141"/>
        <v>-35.168277333296047</v>
      </c>
      <c r="BB233" s="87">
        <f t="shared" si="142"/>
        <v>-39.4595776339726</v>
      </c>
      <c r="BD233" s="87" t="str">
        <f t="shared" si="143"/>
        <v>-0.022496122107151+0.0208657493615549j</v>
      </c>
      <c r="BE233" s="87">
        <f t="shared" si="144"/>
        <v>-30.262004308163522</v>
      </c>
      <c r="BF233" s="87">
        <f t="shared" si="145"/>
        <v>-42.846737423986241</v>
      </c>
      <c r="BH233" s="87">
        <f t="shared" si="152"/>
        <v>31.262004308163522</v>
      </c>
      <c r="BI233" s="107">
        <f t="shared" si="153"/>
        <v>42.846737423986241</v>
      </c>
      <c r="BJ233" s="91"/>
      <c r="BK233" s="91"/>
      <c r="BL233" s="91"/>
      <c r="BM233" s="91"/>
      <c r="BN233" s="42"/>
      <c r="BO233" s="42"/>
      <c r="BP233" s="42"/>
    </row>
    <row r="234" spans="1:68" s="87" customFormat="1">
      <c r="A234" s="87">
        <v>170</v>
      </c>
      <c r="B234" s="87">
        <f t="shared" si="103"/>
        <v>251188.64315095812</v>
      </c>
      <c r="C234" s="87" t="str">
        <f t="shared" si="104"/>
        <v>1578264.79197648j</v>
      </c>
      <c r="D234" s="87">
        <f t="shared" si="105"/>
        <v>-0.24633549526952381</v>
      </c>
      <c r="E234" s="87" t="str">
        <f t="shared" si="106"/>
        <v>-1.75362754664053j</v>
      </c>
      <c r="F234" s="87" t="str">
        <f t="shared" si="107"/>
        <v>-0.246335495269524-1.75362754664053j</v>
      </c>
      <c r="G234" s="87">
        <f t="shared" si="108"/>
        <v>4.9636092387166304</v>
      </c>
      <c r="H234" s="87">
        <f t="shared" si="109"/>
        <v>-97.996130062354254</v>
      </c>
      <c r="J234" s="87">
        <f t="shared" si="110"/>
        <v>14.187192118226601</v>
      </c>
      <c r="K234" s="87" t="str">
        <f t="shared" si="111"/>
        <v>1+79.0316094582222j</v>
      </c>
      <c r="L234" s="87">
        <f t="shared" si="112"/>
        <v>-345.54829042801549</v>
      </c>
      <c r="M234" s="87" t="str">
        <f t="shared" si="113"/>
        <v>5.67125740151351j</v>
      </c>
      <c r="N234" s="87" t="str">
        <f t="shared" si="114"/>
        <v>-345.548290428015+5.67125740151351j</v>
      </c>
      <c r="O234" s="87" t="str">
        <f t="shared" si="115"/>
        <v>0.000859543983168808-0.228699539115528j</v>
      </c>
      <c r="P234" s="87" t="str">
        <f t="shared" si="116"/>
        <v>0.0121945156232816-3.24460429878188j</v>
      </c>
      <c r="R234" s="87">
        <f t="shared" si="117"/>
        <v>23.645320197044338</v>
      </c>
      <c r="S234" s="87" t="str">
        <f t="shared" si="118"/>
        <v>1+0.118369859398236j</v>
      </c>
      <c r="T234" s="87" t="str">
        <f t="shared" si="119"/>
        <v>-345.548290428015+5.67125740151351j</v>
      </c>
      <c r="U234" s="87" t="str">
        <f t="shared" si="120"/>
        <v>-0.0028875515563419-0.000389948123799103j</v>
      </c>
      <c r="V234" s="87" t="str">
        <f t="shared" si="121"/>
        <v>-0.0682770811351779-0.00922044824746648j</v>
      </c>
      <c r="X234" s="87" t="str">
        <f t="shared" si="122"/>
        <v>-0.432521834052413+0.0591003975522565j</v>
      </c>
      <c r="Y234" s="87">
        <f t="shared" si="123"/>
        <v>-7.1995003774738766</v>
      </c>
      <c r="Z234" s="87">
        <f t="shared" si="124"/>
        <v>-7.7807907099115425</v>
      </c>
      <c r="AB234" s="87" t="str">
        <f t="shared" si="125"/>
        <v>-0.0259372939282954-0.00350269039579604j</v>
      </c>
      <c r="AC234" s="87">
        <f t="shared" si="126"/>
        <v>-31.64301784781728</v>
      </c>
      <c r="AD234" s="87">
        <f t="shared" si="127"/>
        <v>7.6909550483991609</v>
      </c>
      <c r="AF234" s="87" t="str">
        <f t="shared" si="128"/>
        <v>-0.0458517450130848-0.0013971181353456j</v>
      </c>
      <c r="AG234" s="87">
        <f t="shared" si="129"/>
        <v>-26.768852329050219</v>
      </c>
      <c r="AH234" s="87">
        <f t="shared" si="130"/>
        <v>1.7452817294121132</v>
      </c>
      <c r="AJ234" s="87" t="str">
        <f t="shared" si="131"/>
        <v>157402.7402516-3912.66544882058j</v>
      </c>
      <c r="AK234" s="87" t="str">
        <f t="shared" si="132"/>
        <v>29999.9999999999-0.00142043831277883j</v>
      </c>
      <c r="AL234" s="87" t="str">
        <f t="shared" si="146"/>
        <v>10000-14080.1609053149j</v>
      </c>
      <c r="AM234" s="87" t="str">
        <f t="shared" si="147"/>
        <v>776.781334585283-4750.17751140684j</v>
      </c>
      <c r="AN234" s="87" t="str">
        <f t="shared" si="148"/>
        <v>10776.7813345853-4750.17751140684j</v>
      </c>
      <c r="AO234" s="87" t="str">
        <f t="shared" si="149"/>
        <v>8224.12403782689-2536.72007763051j</v>
      </c>
      <c r="AP234" s="87" t="str">
        <f t="shared" si="150"/>
        <v>0.160013287300291+0.00334081170095055j</v>
      </c>
      <c r="AQ234" s="87" t="str">
        <f t="shared" si="133"/>
        <v>1+215.906623542382j</v>
      </c>
      <c r="AR234" s="87">
        <f t="shared" si="134"/>
        <v>-3.3975782229146222E-5</v>
      </c>
      <c r="AS234" s="87" t="str">
        <f t="shared" si="135"/>
        <v>0.0120165609078547j</v>
      </c>
      <c r="AT234" s="87" t="str">
        <f t="shared" si="136"/>
        <v>-0.0000339757822291462+0.0120165609078547j</v>
      </c>
      <c r="AU234" s="87" t="str">
        <f t="shared" si="137"/>
        <v>5.39011299005865-0.0402056219616813j</v>
      </c>
      <c r="AW234" s="87" t="str">
        <f t="shared" si="151"/>
        <v>0.395193429646606-0.443082428801454j</v>
      </c>
      <c r="AX234" s="87">
        <f t="shared" si="138"/>
        <v>-4.5284101968162647</v>
      </c>
      <c r="AY234" s="87">
        <f t="shared" si="139"/>
        <v>131.73036219951643</v>
      </c>
      <c r="AZ234" s="87" t="str">
        <f t="shared" si="140"/>
        <v>-0.011802228711184+0.0101081189597815j</v>
      </c>
      <c r="BA234" s="87">
        <f t="shared" si="141"/>
        <v>-36.171428044633522</v>
      </c>
      <c r="BB234" s="87">
        <f t="shared" si="142"/>
        <v>-40.578682752084461</v>
      </c>
      <c r="BD234" s="87" t="str">
        <f t="shared" si="143"/>
        <v>-0.0187393468637342+0.0197639706376539j</v>
      </c>
      <c r="BE234" s="87">
        <f t="shared" si="144"/>
        <v>-31.297262525866461</v>
      </c>
      <c r="BF234" s="87">
        <f t="shared" si="145"/>
        <v>-46.524356071071395</v>
      </c>
      <c r="BH234" s="87">
        <f t="shared" si="152"/>
        <v>32.297262525866458</v>
      </c>
      <c r="BI234" s="107">
        <f t="shared" si="153"/>
        <v>46.524356071071395</v>
      </c>
      <c r="BJ234" s="91"/>
      <c r="BK234" s="91"/>
      <c r="BL234" s="91"/>
      <c r="BM234" s="91"/>
      <c r="BN234" s="42"/>
      <c r="BO234" s="42"/>
      <c r="BP234" s="42"/>
    </row>
    <row r="235" spans="1:68" s="87" customFormat="1">
      <c r="A235" s="87">
        <v>171</v>
      </c>
      <c r="B235" s="87">
        <f t="shared" si="103"/>
        <v>263026.79918953823</v>
      </c>
      <c r="C235" s="87" t="str">
        <f t="shared" si="104"/>
        <v>1652646.12006218j</v>
      </c>
      <c r="D235" s="87">
        <f t="shared" si="105"/>
        <v>-0.36657969564234216</v>
      </c>
      <c r="E235" s="87" t="str">
        <f t="shared" si="106"/>
        <v>-1.83627346673576j</v>
      </c>
      <c r="F235" s="87" t="str">
        <f t="shared" si="107"/>
        <v>-0.366579695642342-1.83627346673576j</v>
      </c>
      <c r="G235" s="87">
        <f t="shared" si="108"/>
        <v>5.4484670816515344</v>
      </c>
      <c r="H235" s="87">
        <f t="shared" si="109"/>
        <v>-101.28967968148946</v>
      </c>
      <c r="J235" s="87">
        <f t="shared" si="110"/>
        <v>14.187192118226601</v>
      </c>
      <c r="K235" s="87" t="str">
        <f t="shared" si="111"/>
        <v>1+82.7562544621137j</v>
      </c>
      <c r="L235" s="87">
        <f t="shared" si="112"/>
        <v>-378.98264436501262</v>
      </c>
      <c r="M235" s="87" t="str">
        <f t="shared" si="113"/>
        <v>5.93853552846974j</v>
      </c>
      <c r="N235" s="87" t="str">
        <f t="shared" si="114"/>
        <v>-378.982644365013+5.93853552846974j</v>
      </c>
      <c r="O235" s="87" t="str">
        <f t="shared" si="115"/>
        <v>0.000782861461303771-0.218351965827255j</v>
      </c>
      <c r="P235" s="87" t="str">
        <f t="shared" si="116"/>
        <v>0.0111066059534722-3.09780128858372j</v>
      </c>
      <c r="R235" s="87">
        <f t="shared" si="117"/>
        <v>23.645320197044338</v>
      </c>
      <c r="S235" s="87" t="str">
        <f t="shared" si="118"/>
        <v>1+0.123948459004664j</v>
      </c>
      <c r="T235" s="87" t="str">
        <f t="shared" si="119"/>
        <v>-378.982644365013+5.93853552846974j</v>
      </c>
      <c r="U235" s="87" t="str">
        <f t="shared" si="120"/>
        <v>-0.00263287192918275-0.000368312017907574j</v>
      </c>
      <c r="V235" s="87" t="str">
        <f t="shared" si="121"/>
        <v>-0.062255099803336-0.00870885559584412j</v>
      </c>
      <c r="X235" s="87" t="str">
        <f t="shared" si="122"/>
        <v>-0.432495268792644+0.0847287945565599j</v>
      </c>
      <c r="Y235" s="87">
        <f t="shared" si="123"/>
        <v>-7.1168117178038486</v>
      </c>
      <c r="Z235" s="87">
        <f t="shared" si="124"/>
        <v>-11.084256912279329</v>
      </c>
      <c r="AB235" s="87" t="str">
        <f t="shared" si="125"/>
        <v>-0.0236496463423441-0.0033083451080938j</v>
      </c>
      <c r="AC235" s="87">
        <f t="shared" si="126"/>
        <v>-32.439340057946197</v>
      </c>
      <c r="AD235" s="87">
        <f t="shared" si="127"/>
        <v>7.9634196086300904</v>
      </c>
      <c r="AF235" s="87" t="str">
        <f t="shared" si="128"/>
        <v>-0.0416157629384889+0.000383623797765974j</v>
      </c>
      <c r="AG235" s="87">
        <f t="shared" si="129"/>
        <v>-27.614473751819819</v>
      </c>
      <c r="AH235" s="87">
        <f t="shared" si="130"/>
        <v>-0.52815088376016206</v>
      </c>
      <c r="AJ235" s="87" t="str">
        <f t="shared" si="131"/>
        <v>157393.363159665-4096.81961245239j</v>
      </c>
      <c r="AK235" s="87" t="str">
        <f t="shared" si="132"/>
        <v>29999.9999999999-0.00148738150805596j</v>
      </c>
      <c r="AL235" s="87" t="str">
        <f t="shared" si="146"/>
        <v>10000-13446.4492745647j</v>
      </c>
      <c r="AM235" s="87" t="str">
        <f t="shared" si="147"/>
        <v>762.546448515325-4564.13856333229j</v>
      </c>
      <c r="AN235" s="87" t="str">
        <f t="shared" si="148"/>
        <v>10762.5464485153-4564.13856333229j</v>
      </c>
      <c r="AO235" s="87" t="str">
        <f t="shared" si="149"/>
        <v>8194.28735872948-2441.56232762959j</v>
      </c>
      <c r="AP235" s="87" t="str">
        <f t="shared" si="150"/>
        <v>0.160014569212821+0.00349825396693405j</v>
      </c>
      <c r="AQ235" s="87" t="str">
        <f t="shared" si="133"/>
        <v>1+226.081989224506j</v>
      </c>
      <c r="AR235" s="87">
        <f t="shared" si="134"/>
        <v>-3.7263352230782016E-5</v>
      </c>
      <c r="AS235" s="87" t="str">
        <f t="shared" si="135"/>
        <v>0.012582883976007j</v>
      </c>
      <c r="AT235" s="87" t="str">
        <f t="shared" si="136"/>
        <v>-0.000037263352230782+0.012582883976007j</v>
      </c>
      <c r="AU235" s="87" t="str">
        <f t="shared" si="137"/>
        <v>5.39010879009522-0.0398043503669412j</v>
      </c>
      <c r="AW235" s="87" t="str">
        <f t="shared" si="151"/>
        <v>0.375021288913422-0.441367761376588j</v>
      </c>
      <c r="AX235" s="87">
        <f t="shared" si="138"/>
        <v>-4.7437677666202402</v>
      </c>
      <c r="AY235" s="87">
        <f t="shared" si="139"/>
        <v>130.35388536311868</v>
      </c>
      <c r="AZ235" s="87" t="str">
        <f t="shared" si="140"/>
        <v>-0.010329317727873+0.00919749161686068j</v>
      </c>
      <c r="BA235" s="87">
        <f t="shared" si="141"/>
        <v>-37.183107824566441</v>
      </c>
      <c r="BB235" s="87">
        <f t="shared" si="142"/>
        <v>-41.682695028251288</v>
      </c>
      <c r="BD235" s="87" t="str">
        <f t="shared" si="143"/>
        <v>-0.0154374778794767+0.0185117232172357j</v>
      </c>
      <c r="BE235" s="87">
        <f t="shared" si="144"/>
        <v>-32.358241518440074</v>
      </c>
      <c r="BF235" s="87">
        <f t="shared" si="145"/>
        <v>-50.174265520641654</v>
      </c>
      <c r="BH235" s="87">
        <f t="shared" si="152"/>
        <v>33.358241518440074</v>
      </c>
      <c r="BI235" s="107">
        <f t="shared" si="153"/>
        <v>50.174265520641654</v>
      </c>
      <c r="BJ235" s="91"/>
      <c r="BK235" s="91"/>
      <c r="BL235" s="91"/>
      <c r="BM235" s="91"/>
      <c r="BN235" s="42"/>
      <c r="BO235" s="42"/>
      <c r="BP235" s="42"/>
    </row>
    <row r="236" spans="1:68" s="87" customFormat="1">
      <c r="A236" s="87">
        <v>172</v>
      </c>
      <c r="B236" s="87">
        <f t="shared" si="103"/>
        <v>275422.87033381691</v>
      </c>
      <c r="C236" s="87" t="str">
        <f t="shared" si="104"/>
        <v>1730532.93214267j</v>
      </c>
      <c r="D236" s="87">
        <f t="shared" si="105"/>
        <v>-0.49842483956382999</v>
      </c>
      <c r="E236" s="87" t="str">
        <f t="shared" si="106"/>
        <v>-1.92281436904741j</v>
      </c>
      <c r="F236" s="87" t="str">
        <f t="shared" si="107"/>
        <v>-0.49842483956383-1.92281436904741j</v>
      </c>
      <c r="G236" s="87">
        <f t="shared" si="108"/>
        <v>5.9611772392049005</v>
      </c>
      <c r="H236" s="87">
        <f t="shared" si="109"/>
        <v>-104.53214906461534</v>
      </c>
      <c r="J236" s="87">
        <f t="shared" si="110"/>
        <v>14.187192118226601</v>
      </c>
      <c r="K236" s="87" t="str">
        <f t="shared" si="111"/>
        <v>1+86.6564365770442j</v>
      </c>
      <c r="L236" s="87">
        <f t="shared" si="112"/>
        <v>-415.64268445906976</v>
      </c>
      <c r="M236" s="87" t="str">
        <f t="shared" si="113"/>
        <v>6.21841008547522j</v>
      </c>
      <c r="N236" s="87" t="str">
        <f t="shared" si="114"/>
        <v>-415.64268445907+6.21841008547522j</v>
      </c>
      <c r="O236" s="87" t="str">
        <f t="shared" si="115"/>
        <v>0.000713103880305729-0.208477149832324j</v>
      </c>
      <c r="P236" s="87" t="str">
        <f t="shared" si="116"/>
        <v>0.0101169417501502-2.95770537693149j</v>
      </c>
      <c r="R236" s="87">
        <f t="shared" si="117"/>
        <v>23.645320197044338</v>
      </c>
      <c r="S236" s="87" t="str">
        <f t="shared" si="118"/>
        <v>1+0.1297899699107j</v>
      </c>
      <c r="T236" s="87" t="str">
        <f t="shared" si="119"/>
        <v>-415.64268445907+6.21841008547522j</v>
      </c>
      <c r="U236" s="87" t="str">
        <f t="shared" si="120"/>
        <v>-0.00240070356197463-0.000348180142617115j</v>
      </c>
      <c r="V236" s="87" t="str">
        <f t="shared" si="121"/>
        <v>-0.056765404421075-0.00823283095843425j</v>
      </c>
      <c r="X236" s="87" t="str">
        <f t="shared" si="122"/>
        <v>-0.432470892891097+0.110526225761897j</v>
      </c>
      <c r="Y236" s="87">
        <f t="shared" si="123"/>
        <v>-7.0060794783922384</v>
      </c>
      <c r="Z236" s="87">
        <f t="shared" si="124"/>
        <v>-14.336167474386968</v>
      </c>
      <c r="AB236" s="87" t="str">
        <f t="shared" si="125"/>
        <v>-0.0215642050736319-0.00312751149991472j</v>
      </c>
      <c r="AC236" s="87">
        <f t="shared" si="126"/>
        <v>-33.234927027661698</v>
      </c>
      <c r="AD236" s="87">
        <f t="shared" si="127"/>
        <v>8.2522134023731724</v>
      </c>
      <c r="AF236" s="87" t="str">
        <f t="shared" si="128"/>
        <v>-0.0376421935678031+0.00182006186395494j</v>
      </c>
      <c r="AG236" s="87">
        <f t="shared" si="129"/>
        <v>-28.47636008784351</v>
      </c>
      <c r="AH236" s="87">
        <f t="shared" si="130"/>
        <v>-2.7681891244973258</v>
      </c>
      <c r="AJ236" s="87" t="str">
        <f t="shared" si="131"/>
        <v>157383.082666879-4289.61656839536j</v>
      </c>
      <c r="AK236" s="87" t="str">
        <f t="shared" si="132"/>
        <v>29999.9999999999-0.0015574796389284j</v>
      </c>
      <c r="AL236" s="87" t="str">
        <f t="shared" si="146"/>
        <v>10000-12841.2593655225j</v>
      </c>
      <c r="AM236" s="87" t="str">
        <f t="shared" si="147"/>
        <v>747.52604692741-4386.68621607874j</v>
      </c>
      <c r="AN236" s="87" t="str">
        <f t="shared" si="148"/>
        <v>10747.5260469274-4386.68621607874j</v>
      </c>
      <c r="AO236" s="87" t="str">
        <f t="shared" si="149"/>
        <v>8165.82012872427-2350.56478745133j</v>
      </c>
      <c r="AP236" s="87" t="str">
        <f t="shared" si="150"/>
        <v>0.160015974797461+0.00366311546737316j</v>
      </c>
      <c r="AQ236" s="87" t="str">
        <f t="shared" si="133"/>
        <v>1+236.736905117117j</v>
      </c>
      <c r="AR236" s="87">
        <f t="shared" si="134"/>
        <v>-4.0868101055870644E-5</v>
      </c>
      <c r="AS236" s="87" t="str">
        <f t="shared" si="135"/>
        <v>0.0131758970280892j</v>
      </c>
      <c r="AT236" s="87" t="str">
        <f t="shared" si="136"/>
        <v>-0.0000408681010558706+0.0131758970280892j</v>
      </c>
      <c r="AU236" s="87" t="str">
        <f t="shared" si="137"/>
        <v>5.39010418830048-0.0394875067374891j</v>
      </c>
      <c r="AW236" s="87" t="str">
        <f t="shared" si="151"/>
        <v>0.355028138365992-0.438747270611666j</v>
      </c>
      <c r="AX236" s="87">
        <f t="shared" si="138"/>
        <v>-4.9683037101124601</v>
      </c>
      <c r="AY236" s="87">
        <f t="shared" si="139"/>
        <v>128.97929870070288</v>
      </c>
      <c r="AZ236" s="87" t="str">
        <f t="shared" si="140"/>
        <v>-0.0090280867170282+0.00835088153343329j</v>
      </c>
      <c r="BA236" s="87">
        <f t="shared" si="141"/>
        <v>-38.203230737774149</v>
      </c>
      <c r="BB236" s="87">
        <f t="shared" si="142"/>
        <v>-42.768487896923972</v>
      </c>
      <c r="BD236" s="87" t="str">
        <f t="shared" si="143"/>
        <v>-0.0125654907312349+0.0171615828629805j</v>
      </c>
      <c r="BE236" s="87">
        <f t="shared" si="144"/>
        <v>-33.444663797955954</v>
      </c>
      <c r="BF236" s="87">
        <f t="shared" si="145"/>
        <v>-53.788890423794356</v>
      </c>
      <c r="BH236" s="87">
        <f t="shared" si="152"/>
        <v>34.444663797955954</v>
      </c>
      <c r="BI236" s="107">
        <f t="shared" si="153"/>
        <v>53.788890423794356</v>
      </c>
      <c r="BJ236" s="91"/>
      <c r="BK236" s="91"/>
      <c r="BL236" s="91"/>
      <c r="BM236" s="91"/>
      <c r="BN236" s="42"/>
      <c r="BO236" s="42"/>
      <c r="BP236" s="42"/>
    </row>
    <row r="237" spans="1:68" s="87" customFormat="1">
      <c r="A237" s="87">
        <v>173</v>
      </c>
      <c r="B237" s="87">
        <f t="shared" si="103"/>
        <v>288403.15031266079</v>
      </c>
      <c r="C237" s="87" t="str">
        <f t="shared" si="104"/>
        <v>1812090.43658882j</v>
      </c>
      <c r="D237" s="87">
        <f t="shared" si="105"/>
        <v>-0.64299016514108831</v>
      </c>
      <c r="E237" s="87" t="str">
        <f t="shared" si="106"/>
        <v>-2.01343381843202j</v>
      </c>
      <c r="F237" s="87" t="str">
        <f t="shared" si="107"/>
        <v>-0.642990165141088-2.01343381843202j</v>
      </c>
      <c r="G237" s="87">
        <f t="shared" si="108"/>
        <v>6.5005018267413339</v>
      </c>
      <c r="H237" s="87">
        <f t="shared" si="109"/>
        <v>-107.7108843073219</v>
      </c>
      <c r="J237" s="87">
        <f t="shared" si="110"/>
        <v>14.187192118226601</v>
      </c>
      <c r="K237" s="87" t="str">
        <f t="shared" si="111"/>
        <v>1+90.7404286121852j</v>
      </c>
      <c r="L237" s="87">
        <f t="shared" si="112"/>
        <v>-455.83961909193459</v>
      </c>
      <c r="M237" s="87" t="str">
        <f t="shared" si="113"/>
        <v>6.51147472398874j</v>
      </c>
      <c r="N237" s="87" t="str">
        <f t="shared" si="114"/>
        <v>-455.839619091935+6.51147472398874j</v>
      </c>
      <c r="O237" s="87" t="str">
        <f t="shared" si="115"/>
        <v>0.000649631846174907-0.199052900955805j</v>
      </c>
      <c r="P237" s="87" t="str">
        <f t="shared" si="116"/>
        <v>0.00921645180780164-2.82400174755034j</v>
      </c>
      <c r="R237" s="87">
        <f t="shared" si="117"/>
        <v>23.645320197044338</v>
      </c>
      <c r="S237" s="87" t="str">
        <f t="shared" si="118"/>
        <v>1+0.135906782744161j</v>
      </c>
      <c r="T237" s="87" t="str">
        <f t="shared" si="119"/>
        <v>-455.839619091935+6.51147472398874j</v>
      </c>
      <c r="U237" s="87" t="str">
        <f t="shared" si="120"/>
        <v>-0.00218904846431892-0.000329415676479133j</v>
      </c>
      <c r="V237" s="87" t="str">
        <f t="shared" si="121"/>
        <v>-0.0517607518656691-0.00778913914827507j</v>
      </c>
      <c r="X237" s="87" t="str">
        <f t="shared" si="122"/>
        <v>-0.432448538794013+0.13654879591805j</v>
      </c>
      <c r="Y237" s="87">
        <f t="shared" si="123"/>
        <v>-6.8685584406270674</v>
      </c>
      <c r="Z237" s="87">
        <f t="shared" si="124"/>
        <v>-17.523893659632222</v>
      </c>
      <c r="AB237" s="87" t="str">
        <f t="shared" si="125"/>
        <v>-0.0196630232688392-0.00295896057913221j</v>
      </c>
      <c r="AC237" s="87">
        <f t="shared" si="126"/>
        <v>-34.029743937683243</v>
      </c>
      <c r="AD237" s="87">
        <f t="shared" si="127"/>
        <v>8.5578566537108713</v>
      </c>
      <c r="AF237" s="87" t="str">
        <f t="shared" si="128"/>
        <v>-0.033935356628528+0.00295104782918537j</v>
      </c>
      <c r="AG237" s="87">
        <f t="shared" si="129"/>
        <v>-29.354233025695066</v>
      </c>
      <c r="AH237" s="87">
        <f t="shared" si="130"/>
        <v>-4.969987480889074</v>
      </c>
      <c r="AJ237" s="87" t="str">
        <f t="shared" si="131"/>
        <v>157371.811874171-4491.45829575198j</v>
      </c>
      <c r="AK237" s="87" t="str">
        <f t="shared" si="132"/>
        <v>29999.9999999999-0.00163088139292993j</v>
      </c>
      <c r="AL237" s="87" t="str">
        <f t="shared" si="146"/>
        <v>10000-12263.3074892523j</v>
      </c>
      <c r="AM237" s="87" t="str">
        <f t="shared" si="147"/>
        <v>731.722247789286-4217.35480656536j</v>
      </c>
      <c r="AN237" s="87" t="str">
        <f t="shared" si="148"/>
        <v>10731.7222477893-4217.35480656536j</v>
      </c>
      <c r="AO237" s="87" t="str">
        <f t="shared" si="149"/>
        <v>8138.56499609083-2263.5289433726j</v>
      </c>
      <c r="AP237" s="87" t="str">
        <f t="shared" si="150"/>
        <v>0.160017515984966+0.00383574574283961j</v>
      </c>
      <c r="AQ237" s="87" t="str">
        <f t="shared" si="133"/>
        <v>1+247.893971725351j</v>
      </c>
      <c r="AR237" s="87">
        <f t="shared" si="134"/>
        <v>-4.4820629545152711E-5</v>
      </c>
      <c r="AS237" s="87" t="str">
        <f t="shared" si="135"/>
        <v>0.0137968579242912j</v>
      </c>
      <c r="AT237" s="87" t="str">
        <f t="shared" si="136"/>
        <v>-0.0000448206295451527+0.0137968579242912j</v>
      </c>
      <c r="AU237" s="87" t="str">
        <f t="shared" si="137"/>
        <v>5.39009914561176-0.039254418650175j</v>
      </c>
      <c r="AW237" s="87" t="str">
        <f t="shared" si="151"/>
        <v>0.335295061554986-0.435245485141743j</v>
      </c>
      <c r="AX237" s="87">
        <f t="shared" si="138"/>
        <v>-5.2019240276867649</v>
      </c>
      <c r="AY237" s="87">
        <f t="shared" si="139"/>
        <v>127.60916417577849</v>
      </c>
      <c r="AZ237" s="87" t="str">
        <f t="shared" si="140"/>
        <v>-0.00788078883006225+0.00756611723248038j</v>
      </c>
      <c r="BA237" s="87">
        <f t="shared" si="141"/>
        <v>-39.231667965370015</v>
      </c>
      <c r="BB237" s="87">
        <f t="shared" si="142"/>
        <v>-43.832979170510612</v>
      </c>
      <c r="BD237" s="87" t="str">
        <f t="shared" si="143"/>
        <v>-0.0100939272455624+0.0157596825227802j</v>
      </c>
      <c r="BE237" s="87">
        <f t="shared" si="144"/>
        <v>-34.55615705338181</v>
      </c>
      <c r="BF237" s="87">
        <f t="shared" si="145"/>
        <v>-57.360823305110756</v>
      </c>
      <c r="BH237" s="87">
        <f t="shared" si="152"/>
        <v>35.55615705338181</v>
      </c>
      <c r="BI237" s="107">
        <f t="shared" si="153"/>
        <v>57.360823305110756</v>
      </c>
      <c r="BJ237" s="91"/>
      <c r="BK237" s="91"/>
      <c r="BL237" s="91"/>
      <c r="BM237" s="91"/>
      <c r="BN237" s="42"/>
      <c r="BO237" s="42"/>
      <c r="BP237" s="42"/>
    </row>
    <row r="238" spans="1:68" s="87" customFormat="1">
      <c r="A238" s="87">
        <v>174</v>
      </c>
      <c r="B238" s="87">
        <f t="shared" si="103"/>
        <v>301995.17204020178</v>
      </c>
      <c r="C238" s="87" t="str">
        <f t="shared" si="104"/>
        <v>1897491.62780217j</v>
      </c>
      <c r="D238" s="87">
        <f t="shared" si="105"/>
        <v>-0.80150289255489149</v>
      </c>
      <c r="E238" s="87" t="str">
        <f t="shared" si="106"/>
        <v>-2.1083240308913j</v>
      </c>
      <c r="F238" s="87" t="str">
        <f t="shared" si="107"/>
        <v>-0.801502892554891-2.1083240308913j</v>
      </c>
      <c r="G238" s="87">
        <f t="shared" si="108"/>
        <v>7.0649905325387898</v>
      </c>
      <c r="H238" s="87">
        <f t="shared" si="109"/>
        <v>-110.81485885637373</v>
      </c>
      <c r="J238" s="87">
        <f t="shared" si="110"/>
        <v>14.187192118226601</v>
      </c>
      <c r="K238" s="87" t="str">
        <f t="shared" si="111"/>
        <v>1+95.0168932621937j</v>
      </c>
      <c r="L238" s="87">
        <f t="shared" si="112"/>
        <v>-499.9146814686635</v>
      </c>
      <c r="M238" s="87" t="str">
        <f t="shared" si="113"/>
        <v>6.81835107340046j</v>
      </c>
      <c r="N238" s="87" t="str">
        <f t="shared" si="114"/>
        <v>-499.914681468664+6.81835107340046j</v>
      </c>
      <c r="O238" s="87" t="str">
        <f t="shared" si="115"/>
        <v>0.000591867327119844-0.19005814636977j</v>
      </c>
      <c r="P238" s="87" t="str">
        <f t="shared" si="116"/>
        <v>0.0083969354783505-2.69639143618196j</v>
      </c>
      <c r="R238" s="87">
        <f t="shared" si="117"/>
        <v>23.645320197044338</v>
      </c>
      <c r="S238" s="87" t="str">
        <f t="shared" si="118"/>
        <v>1+0.142311872085163j</v>
      </c>
      <c r="T238" s="87" t="str">
        <f t="shared" si="119"/>
        <v>-499.914681468664+6.81835107340046j</v>
      </c>
      <c r="U238" s="87" t="str">
        <f t="shared" si="120"/>
        <v>-0.00199608735980154-0.000311897014145284j</v>
      </c>
      <c r="V238" s="87" t="str">
        <f t="shared" si="121"/>
        <v>-0.0471981247637803-0.00737490476796731j</v>
      </c>
      <c r="X238" s="87" t="str">
        <f t="shared" si="122"/>
        <v>-0.432428049428761+0.162852907392783j</v>
      </c>
      <c r="Y238" s="87">
        <f t="shared" si="123"/>
        <v>-6.7057143148692422</v>
      </c>
      <c r="Z238" s="87">
        <f t="shared" si="124"/>
        <v>-20.636432459499559</v>
      </c>
      <c r="AB238" s="87" t="str">
        <f t="shared" si="125"/>
        <v>-0.0179297593644758-0.00280160003151337j</v>
      </c>
      <c r="AC238" s="87">
        <f t="shared" si="126"/>
        <v>-34.823749914400068</v>
      </c>
      <c r="AD238" s="87">
        <f t="shared" si="127"/>
        <v>8.8808935142801033</v>
      </c>
      <c r="AF238" s="87" t="str">
        <f t="shared" si="128"/>
        <v>-0.0304959216779113+0.00381405295871006j</v>
      </c>
      <c r="AG238" s="87">
        <f t="shared" si="129"/>
        <v>-30.247758573526013</v>
      </c>
      <c r="AH238" s="87">
        <f t="shared" si="130"/>
        <v>-7.1288321897190201</v>
      </c>
      <c r="AJ238" s="87" t="str">
        <f t="shared" si="131"/>
        <v>157359.455550984-4702.76492905012j</v>
      </c>
      <c r="AK238" s="87" t="str">
        <f t="shared" si="132"/>
        <v>29999.9999999999-0.00170774246502195j</v>
      </c>
      <c r="AL238" s="87" t="str">
        <f t="shared" si="146"/>
        <v>10000-11711.3677323371j</v>
      </c>
      <c r="AM238" s="87" t="str">
        <f t="shared" si="147"/>
        <v>715.144371430702-4055.69426579899j</v>
      </c>
      <c r="AN238" s="87" t="str">
        <f t="shared" si="148"/>
        <v>10715.1443714307-4055.69426579899j</v>
      </c>
      <c r="AO238" s="87" t="str">
        <f t="shared" si="149"/>
        <v>8112.38153052623-2180.2573596123j</v>
      </c>
      <c r="AP238" s="87" t="str">
        <f t="shared" si="150"/>
        <v>0.16001920585696+0.004016510789886j</v>
      </c>
      <c r="AQ238" s="87" t="str">
        <f t="shared" si="133"/>
        <v>1+259.576854683337j</v>
      </c>
      <c r="AR238" s="87">
        <f t="shared" si="134"/>
        <v>-4.9154490853285241E-5</v>
      </c>
      <c r="AS238" s="87" t="str">
        <f t="shared" si="135"/>
        <v>0.0144470838059276j</v>
      </c>
      <c r="AT238" s="87" t="str">
        <f t="shared" si="136"/>
        <v>-0.0000491544908532852+0.0144470838059276j</v>
      </c>
      <c r="AU238" s="87" t="str">
        <f t="shared" si="137"/>
        <v>5.39009361922413-0.0391045912859388j</v>
      </c>
      <c r="AW238" s="87" t="str">
        <f t="shared" si="151"/>
        <v>0.315898892051062-0.430895632319504j</v>
      </c>
      <c r="AX238" s="87">
        <f t="shared" si="138"/>
        <v>-5.4444993715436452</v>
      </c>
      <c r="AY238" s="87">
        <f t="shared" si="139"/>
        <v>126.24594771796242</v>
      </c>
      <c r="AZ238" s="87" t="str">
        <f t="shared" si="140"/>
        <v>-0.00687118833506534+0.00684083265276704j</v>
      </c>
      <c r="BA238" s="87">
        <f t="shared" si="141"/>
        <v>-40.268249285943732</v>
      </c>
      <c r="BB238" s="87">
        <f t="shared" si="142"/>
        <v>-44.873158767757474</v>
      </c>
      <c r="BD238" s="87" t="str">
        <f t="shared" si="143"/>
        <v>-0.00799016910878466+0.0143454145584502j</v>
      </c>
      <c r="BE238" s="87">
        <f t="shared" si="144"/>
        <v>-35.692257945069684</v>
      </c>
      <c r="BF238" s="87">
        <f t="shared" si="145"/>
        <v>-60.882884471756626</v>
      </c>
      <c r="BH238" s="87">
        <f t="shared" si="152"/>
        <v>36.692257945069684</v>
      </c>
      <c r="BI238" s="107">
        <f t="shared" si="153"/>
        <v>60.882884471756626</v>
      </c>
      <c r="BJ238" s="91"/>
      <c r="BK238" s="91"/>
      <c r="BL238" s="91"/>
      <c r="BM238" s="91"/>
      <c r="BN238" s="42"/>
      <c r="BO238" s="42"/>
      <c r="BP238" s="42"/>
    </row>
    <row r="239" spans="1:68" s="87" customFormat="1">
      <c r="A239" s="87">
        <v>175</v>
      </c>
      <c r="B239" s="87">
        <f t="shared" si="103"/>
        <v>316227.76601683802</v>
      </c>
      <c r="C239" s="87" t="str">
        <f t="shared" si="104"/>
        <v>1986917.65315922j</v>
      </c>
      <c r="D239" s="87">
        <f t="shared" si="105"/>
        <v>-0.97530864197530742</v>
      </c>
      <c r="E239" s="87" t="str">
        <f t="shared" si="106"/>
        <v>-2.20768628128802j</v>
      </c>
      <c r="F239" s="87" t="str">
        <f t="shared" si="107"/>
        <v>-0.975308641975307-2.20768628128802j</v>
      </c>
      <c r="G239" s="87">
        <f t="shared" si="108"/>
        <v>7.6530380759423338</v>
      </c>
      <c r="H239" s="87">
        <f t="shared" si="109"/>
        <v>-113.8348176263215</v>
      </c>
      <c r="J239" s="87">
        <f t="shared" si="110"/>
        <v>14.187192118226601</v>
      </c>
      <c r="K239" s="87" t="str">
        <f t="shared" si="111"/>
        <v>1+99.4949014819479j</v>
      </c>
      <c r="L239" s="87">
        <f t="shared" si="112"/>
        <v>-548.24202635839549</v>
      </c>
      <c r="M239" s="87" t="str">
        <f t="shared" si="113"/>
        <v>7.1396900595911j</v>
      </c>
      <c r="N239" s="87" t="str">
        <f t="shared" si="114"/>
        <v>-548.242026358395+7.1396900595911j</v>
      </c>
      <c r="O239" s="87" t="str">
        <f t="shared" si="115"/>
        <v>0.000539287385525871-0.181472864818509j</v>
      </c>
      <c r="P239" s="87" t="str">
        <f t="shared" si="116"/>
        <v>0.00765097374539167-2.57459039742515j</v>
      </c>
      <c r="R239" s="87">
        <f t="shared" si="117"/>
        <v>23.645320197044338</v>
      </c>
      <c r="S239" s="87" t="str">
        <f t="shared" si="118"/>
        <v>1+0.149018823986941j</v>
      </c>
      <c r="T239" s="87" t="str">
        <f t="shared" si="119"/>
        <v>-548.242026358395+7.1396900595911j</v>
      </c>
      <c r="U239" s="87" t="str">
        <f t="shared" si="120"/>
        <v>-0.00182016346833096-0.000295515883896692j</v>
      </c>
      <c r="V239" s="87" t="str">
        <f t="shared" si="121"/>
        <v>-0.0430383480196483-0.00698756769804986j</v>
      </c>
      <c r="X239" s="87" t="str">
        <f t="shared" si="122"/>
        <v>-0.43240927800866+0.189495403279332j</v>
      </c>
      <c r="Y239" s="87">
        <f t="shared" si="123"/>
        <v>-6.5191664160378506</v>
      </c>
      <c r="Z239" s="87">
        <f t="shared" si="124"/>
        <v>-23.664550847268259</v>
      </c>
      <c r="AB239" s="87" t="str">
        <f t="shared" si="125"/>
        <v>-0.0163495314125071-0.00265445731151509j</v>
      </c>
      <c r="AC239" s="87">
        <f t="shared" si="126"/>
        <v>-35.616897783326252</v>
      </c>
      <c r="AD239" s="87">
        <f t="shared" si="127"/>
        <v>9.221891399251831</v>
      </c>
      <c r="AF239" s="87" t="str">
        <f t="shared" si="128"/>
        <v>-0.0273212267567886+0.00444473363129978j</v>
      </c>
      <c r="AG239" s="87">
        <f t="shared" si="129"/>
        <v>-31.156549680910729</v>
      </c>
      <c r="AH239" s="87">
        <f t="shared" si="130"/>
        <v>-9.240171808137859</v>
      </c>
      <c r="AJ239" s="87" t="str">
        <f t="shared" si="131"/>
        <v>157345.909342023-4923.97549755387j</v>
      </c>
      <c r="AK239" s="87" t="str">
        <f t="shared" si="132"/>
        <v>29999.9999999999-0.00178822588784329j</v>
      </c>
      <c r="AL239" s="87" t="str">
        <f t="shared" si="146"/>
        <v>10000-11184.2693565527j</v>
      </c>
      <c r="AM239" s="87" t="str">
        <f t="shared" si="147"/>
        <v>697.809543264853-3901.27017618887j</v>
      </c>
      <c r="AN239" s="87" t="str">
        <f t="shared" si="148"/>
        <v>10697.8095432649-3901.27017618887j</v>
      </c>
      <c r="AO239" s="87" t="str">
        <f t="shared" si="149"/>
        <v>8087.14566369211-2100.55456854467j</v>
      </c>
      <c r="AP239" s="87" t="str">
        <f t="shared" si="150"/>
        <v>0.160021058756942+0.00420579383402091j</v>
      </c>
      <c r="AQ239" s="87" t="str">
        <f t="shared" si="133"/>
        <v>1+271.810334952181j</v>
      </c>
      <c r="AR239" s="87">
        <f t="shared" si="134"/>
        <v>-5.3906475282760931E-5</v>
      </c>
      <c r="AS239" s="87" t="str">
        <f t="shared" si="135"/>
        <v>0.0151279538892706j</v>
      </c>
      <c r="AT239" s="87" t="str">
        <f t="shared" si="136"/>
        <v>-0.0000539064752827609+0.0151279538892706j</v>
      </c>
      <c r="AU239" s="87" t="str">
        <f t="shared" si="137"/>
        <v>5.39008756222698-0.0390377063724366j</v>
      </c>
      <c r="AW239" s="87" t="str">
        <f t="shared" si="151"/>
        <v>0.296911080566669-0.425738812818858j</v>
      </c>
      <c r="AX239" s="87">
        <f t="shared" si="138"/>
        <v>-5.695867289893437</v>
      </c>
      <c r="AY239" s="87">
        <f t="shared" si="139"/>
        <v>124.89199419355981</v>
      </c>
      <c r="AZ239" s="87" t="str">
        <f t="shared" si="140"/>
        <v>-0.00598446254292896+0.00617249230502537j</v>
      </c>
      <c r="BA239" s="87">
        <f t="shared" si="141"/>
        <v>-41.31276507321968</v>
      </c>
      <c r="BB239" s="87">
        <f t="shared" si="142"/>
        <v>-45.886114407188387</v>
      </c>
      <c r="BD239" s="87" t="str">
        <f t="shared" si="143"/>
        <v>-0.00621967933927946+0.0129513973094902j</v>
      </c>
      <c r="BE239" s="87">
        <f t="shared" si="144"/>
        <v>-36.852416970804185</v>
      </c>
      <c r="BF239" s="87">
        <f t="shared" si="145"/>
        <v>-64.348177614578034</v>
      </c>
      <c r="BH239" s="87">
        <f t="shared" si="152"/>
        <v>37.852416970804185</v>
      </c>
      <c r="BI239" s="107">
        <f t="shared" si="153"/>
        <v>64.348177614578034</v>
      </c>
      <c r="BJ239" s="91"/>
      <c r="BK239" s="91"/>
      <c r="BL239" s="91"/>
      <c r="BM239" s="91"/>
      <c r="BN239" s="42"/>
      <c r="BO239" s="42"/>
      <c r="BP239" s="42"/>
    </row>
    <row r="240" spans="1:68" s="87" customFormat="1">
      <c r="A240" s="87">
        <v>176</v>
      </c>
      <c r="B240" s="87">
        <f t="shared" si="103"/>
        <v>331131.12148259114</v>
      </c>
      <c r="C240" s="87" t="str">
        <f t="shared" si="104"/>
        <v>2080558.19724932j</v>
      </c>
      <c r="D240" s="87">
        <f t="shared" si="105"/>
        <v>-1.1658828565791413</v>
      </c>
      <c r="E240" s="87" t="str">
        <f t="shared" si="106"/>
        <v>-2.31173133027702j</v>
      </c>
      <c r="F240" s="87" t="str">
        <f t="shared" si="107"/>
        <v>-1.16588285657914-2.31173133027702j</v>
      </c>
      <c r="G240" s="87">
        <f t="shared" si="108"/>
        <v>8.2629413593769065</v>
      </c>
      <c r="H240" s="87">
        <f t="shared" si="109"/>
        <v>-116.76332592138547</v>
      </c>
      <c r="J240" s="87">
        <f t="shared" si="110"/>
        <v>14.187192118226601</v>
      </c>
      <c r="K240" s="87" t="str">
        <f t="shared" si="111"/>
        <v>1+104.18395172726j</v>
      </c>
      <c r="L240" s="87">
        <f t="shared" si="112"/>
        <v>-601.23190630748434</v>
      </c>
      <c r="M240" s="87" t="str">
        <f t="shared" si="113"/>
        <v>7.47617328563309j</v>
      </c>
      <c r="N240" s="87" t="str">
        <f t="shared" si="114"/>
        <v>-601.231906307484+7.47617328563309j</v>
      </c>
      <c r="O240" s="87" t="str">
        <f t="shared" si="115"/>
        <v>0.000491418610136266-0.173278025839325j</v>
      </c>
      <c r="P240" s="87" t="str">
        <f t="shared" si="116"/>
        <v>0.0069718502324751-2.45832864244954j</v>
      </c>
      <c r="R240" s="87">
        <f t="shared" si="117"/>
        <v>23.645320197044338</v>
      </c>
      <c r="S240" s="87" t="str">
        <f t="shared" si="118"/>
        <v>1+0.156041864793699j</v>
      </c>
      <c r="T240" s="87" t="str">
        <f t="shared" si="119"/>
        <v>-601.231906307484+7.47617328563309j</v>
      </c>
      <c r="U240" s="87" t="str">
        <f t="shared" si="120"/>
        <v>-0.0016597677990299-0.00028017571041383j</v>
      </c>
      <c r="V240" s="87" t="str">
        <f t="shared" si="121"/>
        <v>-0.0392457410608055-0.00662484438416938j</v>
      </c>
      <c r="X240" s="87" t="str">
        <f t="shared" si="122"/>
        <v>-0.43239208773019+0.216533708357953j</v>
      </c>
      <c r="Y240" s="87">
        <f t="shared" si="123"/>
        <v>-6.310630633244843</v>
      </c>
      <c r="Z240" s="87">
        <f t="shared" si="124"/>
        <v>-26.600834822398724</v>
      </c>
      <c r="AB240" s="87" t="str">
        <f t="shared" si="125"/>
        <v>-0.0149087849744564-0.00251666493594272j</v>
      </c>
      <c r="AC240" s="87">
        <f t="shared" si="126"/>
        <v>-36.409133787073543</v>
      </c>
      <c r="AD240" s="87">
        <f t="shared" si="127"/>
        <v>9.5814401557799158</v>
      </c>
      <c r="AF240" s="87" t="str">
        <f t="shared" si="128"/>
        <v>-0.0244056541042023+0.00487657376211123j</v>
      </c>
      <c r="AG240" s="87">
        <f t="shared" si="129"/>
        <v>-32.080169328816041</v>
      </c>
      <c r="AH240" s="87">
        <f t="shared" si="130"/>
        <v>-11.299645229634592</v>
      </c>
      <c r="AJ240" s="87" t="str">
        <f t="shared" si="131"/>
        <v>157331.05889961-5155.54868233912j</v>
      </c>
      <c r="AK240" s="87" t="str">
        <f t="shared" si="132"/>
        <v>29999.9999999999-0.00187250237752438j</v>
      </c>
      <c r="AL240" s="87" t="str">
        <f t="shared" si="146"/>
        <v>10000-10680.8943155745j</v>
      </c>
      <c r="AM240" s="87" t="str">
        <f t="shared" si="147"/>
        <v>679.743182568705-3753.66400326998j</v>
      </c>
      <c r="AN240" s="87" t="str">
        <f t="shared" si="148"/>
        <v>10679.7431825687-3753.66400326998j</v>
      </c>
      <c r="AO240" s="87" t="str">
        <f t="shared" si="149"/>
        <v>8062.74912846964-2024.22796667948j</v>
      </c>
      <c r="AP240" s="87" t="str">
        <f t="shared" si="150"/>
        <v>0.160023090411975+0.00440399613873239j</v>
      </c>
      <c r="AQ240" s="87" t="str">
        <f t="shared" si="133"/>
        <v>1+284.620361383707j</v>
      </c>
      <c r="AR240" s="87">
        <f t="shared" si="134"/>
        <v>-5.9116922598093518E-5</v>
      </c>
      <c r="AS240" s="87" t="str">
        <f t="shared" si="135"/>
        <v>0.0158409123910529j</v>
      </c>
      <c r="AT240" s="87" t="str">
        <f t="shared" si="136"/>
        <v>-0.0000591169225980935+0.0158409123910529j</v>
      </c>
      <c r="AU240" s="87" t="str">
        <f t="shared" si="137"/>
        <v>5.39008092320607-0.039053621499987j</v>
      </c>
      <c r="AW240" s="87" t="str">
        <f t="shared" si="151"/>
        <v>0.278396740941849-0.41982301365815j</v>
      </c>
      <c r="AX240" s="87">
        <f t="shared" si="138"/>
        <v>-5.9558349504911101</v>
      </c>
      <c r="AY240" s="87">
        <f t="shared" si="139"/>
        <v>123.54950509281576</v>
      </c>
      <c r="AZ240" s="87" t="str">
        <f t="shared" si="140"/>
        <v>-0.00520711100606675+0.00555841972174857j</v>
      </c>
      <c r="BA240" s="87">
        <f t="shared" si="141"/>
        <v>-42.364968737564624</v>
      </c>
      <c r="BB240" s="87">
        <f t="shared" si="142"/>
        <v>-46.86905475140432</v>
      </c>
      <c r="BD240" s="87" t="str">
        <f t="shared" si="143"/>
        <v>-0.00474715667002818+0.0116036774986589j</v>
      </c>
      <c r="BE240" s="87">
        <f t="shared" si="144"/>
        <v>-38.03600427930715</v>
      </c>
      <c r="BF240" s="87">
        <f t="shared" si="145"/>
        <v>-67.7501401368188</v>
      </c>
      <c r="BH240" s="87">
        <f t="shared" si="152"/>
        <v>39.03600427930715</v>
      </c>
      <c r="BI240" s="107">
        <f t="shared" si="153"/>
        <v>67.7501401368188</v>
      </c>
      <c r="BJ240" s="91"/>
      <c r="BK240" s="91"/>
      <c r="BL240" s="91"/>
      <c r="BM240" s="91"/>
      <c r="BN240" s="42"/>
      <c r="BO240" s="42"/>
      <c r="BP240" s="42"/>
    </row>
    <row r="241" spans="1:68" s="87" customFormat="1">
      <c r="A241" s="87">
        <v>177</v>
      </c>
      <c r="B241" s="87">
        <f t="shared" si="103"/>
        <v>346736.85045253224</v>
      </c>
      <c r="C241" s="87" t="str">
        <f t="shared" si="104"/>
        <v>2178611.88422108j</v>
      </c>
      <c r="D241" s="87">
        <f t="shared" si="105"/>
        <v>-1.3748433276393541</v>
      </c>
      <c r="E241" s="87" t="str">
        <f t="shared" si="106"/>
        <v>-2.42067987135676j</v>
      </c>
      <c r="F241" s="87" t="str">
        <f t="shared" si="107"/>
        <v>-1.37484332763935-2.42067987135676j</v>
      </c>
      <c r="G241" s="87">
        <f t="shared" si="108"/>
        <v>8.8929527014530727</v>
      </c>
      <c r="H241" s="87">
        <f t="shared" si="109"/>
        <v>-119.59473462206971</v>
      </c>
      <c r="J241" s="87">
        <f t="shared" si="110"/>
        <v>14.187192118226601</v>
      </c>
      <c r="K241" s="87" t="str">
        <f t="shared" si="111"/>
        <v>1+109.093990102371j</v>
      </c>
      <c r="L241" s="87">
        <f t="shared" si="112"/>
        <v>-659.33415428790443</v>
      </c>
      <c r="M241" s="87" t="str">
        <f t="shared" si="113"/>
        <v>7.82851447756191j</v>
      </c>
      <c r="N241" s="87" t="str">
        <f t="shared" si="114"/>
        <v>-659.334154287904+7.82851447756191j</v>
      </c>
      <c r="O241" s="87" t="str">
        <f t="shared" si="115"/>
        <v>0.000447832161204774-0.165455533483828j</v>
      </c>
      <c r="P241" s="87" t="str">
        <f t="shared" si="116"/>
        <v>0.00635348090773275-2.34734944055874j</v>
      </c>
      <c r="R241" s="87">
        <f t="shared" si="117"/>
        <v>23.645320197044338</v>
      </c>
      <c r="S241" s="87" t="str">
        <f t="shared" si="118"/>
        <v>1+0.163395891316581j</v>
      </c>
      <c r="T241" s="87" t="str">
        <f t="shared" si="119"/>
        <v>-659.334154287904+7.82851447756191j</v>
      </c>
      <c r="U241" s="87" t="str">
        <f t="shared" si="120"/>
        <v>-0.00151352580654492-0.00026579018979314j</v>
      </c>
      <c r="V241" s="87" t="str">
        <f t="shared" si="121"/>
        <v>-0.0357878023222444-0.00628469414289198j</v>
      </c>
      <c r="X241" s="87" t="str">
        <f t="shared" si="122"/>
        <v>-0.432376351393697+0.244025968618855j</v>
      </c>
      <c r="Y241" s="87">
        <f t="shared" si="123"/>
        <v>-6.081866307362306</v>
      </c>
      <c r="Z241" s="87">
        <f t="shared" si="124"/>
        <v>-29.439654706831476</v>
      </c>
      <c r="AB241" s="87" t="str">
        <f t="shared" si="125"/>
        <v>-0.0135951732623429-0.00238744768410494j</v>
      </c>
      <c r="AC241" s="87">
        <f t="shared" si="126"/>
        <v>-37.200397268920099</v>
      </c>
      <c r="AD241" s="87">
        <f t="shared" si="127"/>
        <v>9.9601510337301136</v>
      </c>
      <c r="AF241" s="87" t="str">
        <f t="shared" si="128"/>
        <v>-0.0217410444163558+0.0051406098839368j</v>
      </c>
      <c r="AG241" s="87">
        <f t="shared" si="129"/>
        <v>-33.018134027137606</v>
      </c>
      <c r="AH241" s="87">
        <f t="shared" si="130"/>
        <v>-13.30310676953053</v>
      </c>
      <c r="AJ241" s="87" t="str">
        <f t="shared" si="131"/>
        <v>157314.778934881-5397.9635894805j</v>
      </c>
      <c r="AK241" s="87" t="str">
        <f t="shared" si="132"/>
        <v>29999.9999999999-0.00196075069579896j</v>
      </c>
      <c r="AL241" s="87" t="str">
        <f t="shared" si="146"/>
        <v>10000-10200.1748834521j</v>
      </c>
      <c r="AM241" s="87" t="str">
        <f t="shared" si="147"/>
        <v>660.979345178739-3612.47348485341j</v>
      </c>
      <c r="AN241" s="87" t="str">
        <f t="shared" si="148"/>
        <v>10660.9793451787-3612.47348485341j</v>
      </c>
      <c r="AO241" s="87" t="str">
        <f t="shared" si="149"/>
        <v>8039.09887637632-1951.08872021891j</v>
      </c>
      <c r="AP241" s="87" t="str">
        <f t="shared" si="150"/>
        <v>0.160025318066124+0.0046115378522019j</v>
      </c>
      <c r="AQ241" s="87" t="str">
        <f t="shared" si="133"/>
        <v>1+298.034105761444j</v>
      </c>
      <c r="AR241" s="87">
        <f t="shared" si="134"/>
        <v>-6.4830064471508428E-5</v>
      </c>
      <c r="AS241" s="87" t="str">
        <f t="shared" si="135"/>
        <v>0.0165874715918448j</v>
      </c>
      <c r="AT241" s="87" t="str">
        <f t="shared" si="136"/>
        <v>-0.0000648300644715084+0.0165874715918448j</v>
      </c>
      <c r="AU241" s="87" t="str">
        <f t="shared" si="137"/>
        <v>5.39007364580697-0.0391523698092204j</v>
      </c>
      <c r="AW241" s="87" t="str">
        <f t="shared" si="151"/>
        <v>0.26041389816811-0.413202001839175j</v>
      </c>
      <c r="AX241" s="87">
        <f t="shared" si="138"/>
        <v>-6.2241822570502139</v>
      </c>
      <c r="AY241" s="87">
        <f t="shared" si="139"/>
        <v>122.2205193570498</v>
      </c>
      <c r="AZ241" s="87" t="str">
        <f t="shared" si="140"/>
        <v>-0.00452687022787603+0.00499582824926031j</v>
      </c>
      <c r="BA241" s="87">
        <f t="shared" si="141"/>
        <v>-43.424579525970337</v>
      </c>
      <c r="BB241" s="87">
        <f t="shared" si="142"/>
        <v>-47.819329609220091</v>
      </c>
      <c r="BD241" s="87" t="str">
        <f t="shared" si="143"/>
        <v>-0.00353755983199229+0.0103221293337501j</v>
      </c>
      <c r="BE241" s="87">
        <f t="shared" si="144"/>
        <v>-39.242316284187851</v>
      </c>
      <c r="BF241" s="87">
        <f t="shared" si="145"/>
        <v>-71.082587412480706</v>
      </c>
      <c r="BH241" s="87">
        <f t="shared" si="152"/>
        <v>40.242316284187851</v>
      </c>
      <c r="BI241" s="107">
        <f t="shared" si="153"/>
        <v>71.082587412480706</v>
      </c>
      <c r="BJ241" s="91"/>
      <c r="BK241" s="91"/>
      <c r="BL241" s="91"/>
      <c r="BM241" s="91"/>
      <c r="BN241" s="42"/>
      <c r="BO241" s="42"/>
      <c r="BP241" s="42"/>
    </row>
    <row r="242" spans="1:68" s="87" customFormat="1">
      <c r="A242" s="87">
        <v>178</v>
      </c>
      <c r="B242" s="87">
        <f t="shared" si="103"/>
        <v>363078.05477010191</v>
      </c>
      <c r="C242" s="87" t="str">
        <f t="shared" si="104"/>
        <v>2281286.69909085j</v>
      </c>
      <c r="D242" s="87">
        <f t="shared" si="105"/>
        <v>-1.6039639280126678</v>
      </c>
      <c r="E242" s="87" t="str">
        <f t="shared" si="106"/>
        <v>-2.53476299898983j</v>
      </c>
      <c r="F242" s="87" t="str">
        <f t="shared" si="107"/>
        <v>-1.60396392801267-2.53476299898983j</v>
      </c>
      <c r="G242" s="87">
        <f t="shared" si="108"/>
        <v>9.5413265491614521</v>
      </c>
      <c r="H242" s="87">
        <f t="shared" si="109"/>
        <v>-122.3250782225381</v>
      </c>
      <c r="J242" s="87">
        <f t="shared" si="110"/>
        <v>14.187192118226601</v>
      </c>
      <c r="K242" s="87" t="str">
        <f t="shared" si="111"/>
        <v>1+114.235431456974j</v>
      </c>
      <c r="L242" s="87">
        <f t="shared" si="112"/>
        <v>-723.04200234533425</v>
      </c>
      <c r="M242" s="87" t="str">
        <f t="shared" si="113"/>
        <v>8.19746099828483j</v>
      </c>
      <c r="N242" s="87" t="str">
        <f t="shared" si="114"/>
        <v>-723.042002345334+8.19746099828483j</v>
      </c>
      <c r="O242" s="87" t="str">
        <f t="shared" si="115"/>
        <v>0.000408139353515988-0.157988174103312j</v>
      </c>
      <c r="P242" s="87" t="str">
        <f t="shared" si="116"/>
        <v>0.00579035141934013-2.24140857841152j</v>
      </c>
      <c r="R242" s="87">
        <f t="shared" si="117"/>
        <v>23.645320197044338</v>
      </c>
      <c r="S242" s="87" t="str">
        <f t="shared" si="118"/>
        <v>1+0.171096502431814j</v>
      </c>
      <c r="T242" s="87" t="str">
        <f t="shared" si="119"/>
        <v>-723.042002345334+8.19746099828483j</v>
      </c>
      <c r="U242" s="87" t="str">
        <f t="shared" si="120"/>
        <v>-0.0013801852790166-0.000252282048394525j</v>
      </c>
      <c r="V242" s="87" t="str">
        <f t="shared" si="121"/>
        <v>-0.0326349228535945-0.00596528981425478j</v>
      </c>
      <c r="X242" s="87" t="str">
        <f t="shared" si="122"/>
        <v>-0.432361950972088+0.272031189995898j</v>
      </c>
      <c r="Y242" s="87">
        <f t="shared" si="123"/>
        <v>-5.8346296195395642</v>
      </c>
      <c r="Z242" s="87">
        <f t="shared" si="124"/>
        <v>-32.177063280775997</v>
      </c>
      <c r="AB242" s="87" t="str">
        <f t="shared" si="125"/>
        <v>-0.0123974483429522-0.00226611144922064j</v>
      </c>
      <c r="AC242" s="87">
        <f t="shared" si="126"/>
        <v>-37.990620323326247</v>
      </c>
      <c r="AD242" s="87">
        <f t="shared" si="127"/>
        <v>10.358655425898689</v>
      </c>
      <c r="AF242" s="87" t="str">
        <f t="shared" si="128"/>
        <v>-0.0193171313261506+0.00526524037255329j</v>
      </c>
      <c r="AG242" s="87">
        <f t="shared" si="129"/>
        <v>-33.96991764996389</v>
      </c>
      <c r="AH242" s="87">
        <f t="shared" si="130"/>
        <v>-15.246648007405469</v>
      </c>
      <c r="AJ242" s="87" t="str">
        <f t="shared" si="131"/>
        <v>157296.932180504-5651.72053726108j</v>
      </c>
      <c r="AK242" s="87" t="str">
        <f t="shared" si="132"/>
        <v>29999.9999999999-0.00205315802918176j</v>
      </c>
      <c r="AL242" s="87" t="str">
        <f t="shared" si="146"/>
        <v>10000-9741.09138981891j</v>
      </c>
      <c r="AM242" s="87" t="str">
        <f t="shared" si="147"/>
        <v>641.560889813221-3477.3131527469j</v>
      </c>
      <c r="AN242" s="87" t="str">
        <f t="shared" si="148"/>
        <v>10641.5608898132-3477.3131527469j</v>
      </c>
      <c r="AO242" s="87" t="str">
        <f t="shared" si="149"/>
        <v>8016.11645250052-1880.95267811895j</v>
      </c>
      <c r="AP242" s="87" t="str">
        <f t="shared" si="150"/>
        <v>0.160027760626748+0.00482885889342126j</v>
      </c>
      <c r="AQ242" s="87" t="str">
        <f t="shared" si="133"/>
        <v>1+312.080020435628j</v>
      </c>
      <c r="AR242" s="87">
        <f t="shared" si="134"/>
        <v>-7.1094399967180002E-5</v>
      </c>
      <c r="AS242" s="87" t="str">
        <f t="shared" si="135"/>
        <v>0.0173692150438039j</v>
      </c>
      <c r="AT242" s="87" t="str">
        <f t="shared" si="136"/>
        <v>-0.00007109439996718+0.0173692150438039j</v>
      </c>
      <c r="AU242" s="87" t="str">
        <f t="shared" si="137"/>
        <v>5.39006566825704-0.039334160049573j</v>
      </c>
      <c r="AW242" s="87" t="str">
        <f t="shared" si="151"/>
        <v>0.243012951031616-0.405934143403591j</v>
      </c>
      <c r="AX242" s="87">
        <f t="shared" si="138"/>
        <v>-6.5006652639845282</v>
      </c>
      <c r="AY242" s="87">
        <f t="shared" si="139"/>
        <v>120.90689763818867</v>
      </c>
      <c r="AZ242" s="87" t="str">
        <f t="shared" si="140"/>
        <v>-0.00393263251707929+0.00448185314284494j</v>
      </c>
      <c r="BA242" s="87">
        <f t="shared" si="141"/>
        <v>-44.491285587310756</v>
      </c>
      <c r="BB242" s="87">
        <f t="shared" si="142"/>
        <v>-48.734446935912672</v>
      </c>
      <c r="BD242" s="87" t="str">
        <f t="shared" si="143"/>
        <v>-0.00255697224858671+0.00912100475872061j</v>
      </c>
      <c r="BE242" s="87">
        <f t="shared" si="144"/>
        <v>-40.470582913948405</v>
      </c>
      <c r="BF242" s="87">
        <f t="shared" si="145"/>
        <v>-74.339750369216787</v>
      </c>
      <c r="BH242" s="87">
        <f t="shared" si="152"/>
        <v>41.470582913948405</v>
      </c>
      <c r="BI242" s="107">
        <f t="shared" si="153"/>
        <v>74.339750369216787</v>
      </c>
      <c r="BJ242" s="91"/>
      <c r="BK242" s="91"/>
      <c r="BL242" s="91"/>
      <c r="BM242" s="91"/>
      <c r="BN242" s="42"/>
      <c r="BO242" s="42"/>
      <c r="BP242" s="42"/>
    </row>
    <row r="243" spans="1:68" s="87" customFormat="1">
      <c r="A243" s="87">
        <v>179</v>
      </c>
      <c r="B243" s="87">
        <f t="shared" si="103"/>
        <v>380189.3963205617</v>
      </c>
      <c r="C243" s="87" t="str">
        <f t="shared" si="104"/>
        <v>2388800.42890683j</v>
      </c>
      <c r="D243" s="87">
        <f t="shared" si="105"/>
        <v>-1.8551896706092501</v>
      </c>
      <c r="E243" s="87" t="str">
        <f t="shared" si="106"/>
        <v>-2.65422269878537j</v>
      </c>
      <c r="F243" s="87" t="str">
        <f t="shared" si="107"/>
        <v>-1.85518967060925-2.65422269878537j</v>
      </c>
      <c r="G243" s="87">
        <f t="shared" si="108"/>
        <v>10.206358145437475</v>
      </c>
      <c r="H243" s="87">
        <f t="shared" si="109"/>
        <v>-124.95192446953845</v>
      </c>
      <c r="J243" s="87">
        <f t="shared" si="110"/>
        <v>14.187192118226601</v>
      </c>
      <c r="K243" s="87" t="str">
        <f t="shared" si="111"/>
        <v>1+119.61918147751j</v>
      </c>
      <c r="L243" s="87">
        <f t="shared" si="112"/>
        <v>-792.89626866351125</v>
      </c>
      <c r="M243" s="87" t="str">
        <f t="shared" si="113"/>
        <v>8.58379543283787j</v>
      </c>
      <c r="N243" s="87" t="str">
        <f t="shared" si="114"/>
        <v>-792.896268663511+8.58379543283787j</v>
      </c>
      <c r="O243" s="87" t="str">
        <f t="shared" si="115"/>
        <v>0.000371987712453112-0.150859567812956j</v>
      </c>
      <c r="P243" s="87" t="str">
        <f t="shared" si="116"/>
        <v>0.00527746114219193-2.14027367143504j</v>
      </c>
      <c r="R243" s="87">
        <f t="shared" si="117"/>
        <v>23.645320197044338</v>
      </c>
      <c r="S243" s="87" t="str">
        <f t="shared" si="118"/>
        <v>1+0.179160032168012j</v>
      </c>
      <c r="T243" s="87" t="str">
        <f t="shared" si="119"/>
        <v>-792.896268663511+8.58379543283787j</v>
      </c>
      <c r="U243" s="87" t="str">
        <f t="shared" si="120"/>
        <v>-0.00125860533956012-0.000239581961022054j</v>
      </c>
      <c r="V243" s="87" t="str">
        <f t="shared" si="121"/>
        <v>-0.0297601262556088-0.00566499218180226j</v>
      </c>
      <c r="X243" s="87" t="str">
        <f t="shared" si="122"/>
        <v>-0.432348777146843+0.300609376911351j</v>
      </c>
      <c r="Y243" s="87">
        <f t="shared" si="123"/>
        <v>-5.5706350153017672</v>
      </c>
      <c r="Z243" s="87">
        <f t="shared" si="124"/>
        <v>-34.810645510121816</v>
      </c>
      <c r="AB243" s="87" t="str">
        <f t="shared" si="125"/>
        <v>-0.0113053623441616-0.00215203352102872j</v>
      </c>
      <c r="AC243" s="87">
        <f t="shared" si="126"/>
        <v>-38.779727415119517</v>
      </c>
      <c r="AD243" s="87">
        <f t="shared" si="127"/>
        <v>10.777603342220601</v>
      </c>
      <c r="AF243" s="87" t="str">
        <f t="shared" si="128"/>
        <v>-0.0171219789563184+0.00527611636149716j</v>
      </c>
      <c r="AG243" s="87">
        <f t="shared" si="129"/>
        <v>-34.934955530939334</v>
      </c>
      <c r="AH243" s="87">
        <f t="shared" si="130"/>
        <v>-17.126616150233758</v>
      </c>
      <c r="AJ243" s="87" t="str">
        <f t="shared" si="131"/>
        <v>157277.368257018-5917.34185480782j</v>
      </c>
      <c r="AK243" s="87" t="str">
        <f t="shared" si="132"/>
        <v>29999.9999999998-0.00214992038601614j</v>
      </c>
      <c r="AL243" s="87" t="str">
        <f t="shared" si="146"/>
        <v>10000-9302.67005703431j</v>
      </c>
      <c r="AM243" s="87" t="str">
        <f t="shared" si="147"/>
        <v>621.539441699908-3347.81495439813j</v>
      </c>
      <c r="AN243" s="87" t="str">
        <f t="shared" si="148"/>
        <v>10621.5394416999-3347.81495439813j</v>
      </c>
      <c r="AO243" s="87" t="str">
        <f t="shared" si="149"/>
        <v>7993.73730858749-1813.6412846693j</v>
      </c>
      <c r="AP243" s="87" t="str">
        <f t="shared" si="150"/>
        <v>0.160030438824887+0.00505641987949388j</v>
      </c>
      <c r="AQ243" s="87" t="str">
        <f t="shared" si="133"/>
        <v>1+326.787898674454j</v>
      </c>
      <c r="AR243" s="87">
        <f t="shared" si="134"/>
        <v>-7.7963107251509891E-5</v>
      </c>
      <c r="AS243" s="87" t="str">
        <f t="shared" si="135"/>
        <v>0.0181878009296022j</v>
      </c>
      <c r="AT243" s="87" t="str">
        <f t="shared" si="136"/>
        <v>-0.0000779631072515099+0.0181878009296022j</v>
      </c>
      <c r="AU243" s="87" t="str">
        <f t="shared" si="137"/>
        <v>5.39005692284118-0.039599377008519j</v>
      </c>
      <c r="AW243" s="87" t="str">
        <f t="shared" si="151"/>
        <v>0.226236351493133-0.398081192557107j</v>
      </c>
      <c r="AX243" s="87">
        <f t="shared" si="138"/>
        <v>-6.7850197916367891</v>
      </c>
      <c r="AY243" s="87">
        <f t="shared" si="139"/>
        <v>119.61031014892141</v>
      </c>
      <c r="AZ243" s="87" t="str">
        <f t="shared" si="140"/>
        <v>-0.00341436799952496+0.0040135839121656j</v>
      </c>
      <c r="BA243" s="87">
        <f t="shared" si="141"/>
        <v>-45.564747206756302</v>
      </c>
      <c r="BB243" s="87">
        <f t="shared" si="142"/>
        <v>-49.612086508857942</v>
      </c>
      <c r="BD243" s="87" t="str">
        <f t="shared" si="143"/>
        <v>-0.00177329135616482+0.00800958711754726j</v>
      </c>
      <c r="BE243" s="87">
        <f t="shared" si="144"/>
        <v>-41.719975322576119</v>
      </c>
      <c r="BF243" s="87">
        <f t="shared" si="145"/>
        <v>-77.516306001312358</v>
      </c>
      <c r="BH243" s="87">
        <f t="shared" si="152"/>
        <v>42.719975322576119</v>
      </c>
      <c r="BI243" s="107">
        <f t="shared" si="153"/>
        <v>77.516306001312358</v>
      </c>
      <c r="BJ243" s="91"/>
      <c r="BK243" s="91"/>
      <c r="BL243" s="91"/>
      <c r="BM243" s="91"/>
      <c r="BN243" s="42"/>
      <c r="BO243" s="42"/>
      <c r="BP243" s="42"/>
    </row>
    <row r="244" spans="1:68" s="87" customFormat="1">
      <c r="A244" s="87">
        <v>180</v>
      </c>
      <c r="B244" s="87">
        <f t="shared" si="103"/>
        <v>398107.17055349768</v>
      </c>
      <c r="C244" s="87" t="str">
        <f t="shared" si="104"/>
        <v>2501381.12470457j</v>
      </c>
      <c r="D244" s="87">
        <f t="shared" si="105"/>
        <v>-2.1306532196762702</v>
      </c>
      <c r="E244" s="87" t="str">
        <f t="shared" si="106"/>
        <v>-2.77931236078286j</v>
      </c>
      <c r="F244" s="87" t="str">
        <f t="shared" si="107"/>
        <v>-2.13065321967627-2.77931236078286j</v>
      </c>
      <c r="G244" s="87">
        <f t="shared" si="108"/>
        <v>10.88641360991576</v>
      </c>
      <c r="H244" s="87">
        <f t="shared" si="109"/>
        <v>-127.47419400792811</v>
      </c>
      <c r="J244" s="87">
        <f t="shared" si="110"/>
        <v>14.187192118226601</v>
      </c>
      <c r="K244" s="87" t="str">
        <f t="shared" si="111"/>
        <v>1+125.256659819581j</v>
      </c>
      <c r="L244" s="87">
        <f t="shared" si="112"/>
        <v>-869.48994858896799</v>
      </c>
      <c r="M244" s="87" t="str">
        <f t="shared" si="113"/>
        <v>8.98833724835344j</v>
      </c>
      <c r="N244" s="87" t="str">
        <f t="shared" si="114"/>
        <v>-869.489948588968+8.98833724835344j</v>
      </c>
      <c r="O244" s="87" t="str">
        <f t="shared" si="115"/>
        <v>0.000339057447024531-0.144054123293967j</v>
      </c>
      <c r="P244" s="87" t="str">
        <f t="shared" si="116"/>
        <v>0.00481027314005246-2.04372352259421j</v>
      </c>
      <c r="R244" s="87">
        <f t="shared" si="117"/>
        <v>23.645320197044338</v>
      </c>
      <c r="S244" s="87" t="str">
        <f t="shared" si="118"/>
        <v>1+0.187603584352843j</v>
      </c>
      <c r="T244" s="87" t="str">
        <f t="shared" si="119"/>
        <v>-869.489948588968+8.98833724835344j</v>
      </c>
      <c r="U244" s="87" t="str">
        <f t="shared" si="120"/>
        <v>-0.00114774645516958-0.000227627607298623j</v>
      </c>
      <c r="V244" s="87" t="str">
        <f t="shared" si="121"/>
        <v>-0.0271388324375073-0.00538232766026301j</v>
      </c>
      <c r="X244" s="87" t="str">
        <f t="shared" si="122"/>
        <v>-0.432336728826271+0.329821671190699j</v>
      </c>
      <c r="Y244" s="87">
        <f t="shared" si="123"/>
        <v>-5.2915252072392871</v>
      </c>
      <c r="Z244" s="87">
        <f t="shared" si="124"/>
        <v>-37.339338271697017</v>
      </c>
      <c r="AB244" s="87" t="str">
        <f t="shared" si="125"/>
        <v>-0.0103095777103997-0.00204465410971866j</v>
      </c>
      <c r="AC244" s="87">
        <f t="shared" si="126"/>
        <v>-39.567634969557744</v>
      </c>
      <c r="AD244" s="87">
        <f t="shared" si="127"/>
        <v>11.217661579737239</v>
      </c>
      <c r="AF244" s="87" t="str">
        <f t="shared" si="128"/>
        <v>-0.0151424073610054+0.00519610857655045j</v>
      </c>
      <c r="AG244" s="87">
        <f t="shared" si="129"/>
        <v>-35.912648735463733</v>
      </c>
      <c r="AH244" s="87">
        <f t="shared" si="130"/>
        <v>-18.939628768606127</v>
      </c>
      <c r="AJ244" s="87" t="str">
        <f t="shared" si="131"/>
        <v>157255.922434201-6195.37268896744j</v>
      </c>
      <c r="AK244" s="87" t="str">
        <f t="shared" si="132"/>
        <v>29999.9999999998-0.0022512430122341j</v>
      </c>
      <c r="AL244" s="87" t="str">
        <f t="shared" si="146"/>
        <v>10000-8883.98093467134j</v>
      </c>
      <c r="AM244" s="87" t="str">
        <f t="shared" si="147"/>
        <v>600.975133342112-3223.62893471279j</v>
      </c>
      <c r="AN244" s="87" t="str">
        <f t="shared" si="148"/>
        <v>10600.9751333421-3223.62893471279j</v>
      </c>
      <c r="AO244" s="87" t="str">
        <f t="shared" si="149"/>
        <v>7971.91003762503-1748.98247799762j</v>
      </c>
      <c r="AP244" s="87" t="str">
        <f t="shared" si="150"/>
        <v>0.160033375391121+0.0052947030959772j</v>
      </c>
      <c r="AQ244" s="87" t="str">
        <f t="shared" si="133"/>
        <v>1+342.188937859585j</v>
      </c>
      <c r="AR244" s="87">
        <f t="shared" si="134"/>
        <v>-8.5494495024467142E-5</v>
      </c>
      <c r="AS244" s="87" t="str">
        <f t="shared" si="135"/>
        <v>0.0190449655796532j</v>
      </c>
      <c r="AT244" s="87" t="str">
        <f t="shared" si="136"/>
        <v>-0.0000854944950244671+0.0190449655796532j</v>
      </c>
      <c r="AU244" s="87" t="str">
        <f t="shared" si="137"/>
        <v>5.39004733532697-0.039948582312198j</v>
      </c>
      <c r="AW244" s="87" t="str">
        <f t="shared" si="151"/>
        <v>0.210118493307225-0.389707092876257j</v>
      </c>
      <c r="AX244" s="87">
        <f t="shared" si="138"/>
        <v>-7.0769651454426032</v>
      </c>
      <c r="AY244" s="87">
        <f t="shared" si="139"/>
        <v>118.33222813172722</v>
      </c>
      <c r="AZ244" s="87" t="str">
        <f t="shared" si="140"/>
        <v>-0.00296304914417889+0.00358809591743323j</v>
      </c>
      <c r="BA244" s="87">
        <f t="shared" si="141"/>
        <v>-46.644600115000323</v>
      </c>
      <c r="BB244" s="87">
        <f t="shared" si="142"/>
        <v>-50.450110288535654</v>
      </c>
      <c r="BD244" s="87" t="str">
        <f t="shared" si="143"/>
        <v>-0.00115673945210183+0.00699290205697102j</v>
      </c>
      <c r="BE244" s="87">
        <f t="shared" si="144"/>
        <v>-42.98961388090629</v>
      </c>
      <c r="BF244" s="87">
        <f t="shared" si="145"/>
        <v>-80.607400636878921</v>
      </c>
      <c r="BH244" s="87">
        <f t="shared" si="152"/>
        <v>43.98961388090629</v>
      </c>
      <c r="BI244" s="107">
        <f t="shared" si="153"/>
        <v>80.607400636878921</v>
      </c>
      <c r="BJ244" s="91"/>
      <c r="BK244" s="91"/>
      <c r="BL244" s="91"/>
      <c r="BM244" s="91"/>
      <c r="BN244" s="42"/>
      <c r="BO244" s="42"/>
      <c r="BP244" s="42"/>
    </row>
    <row r="245" spans="1:68" s="87" customFormat="1">
      <c r="A245" s="87">
        <v>181</v>
      </c>
      <c r="B245" s="87">
        <f t="shared" si="103"/>
        <v>416869.38347033586</v>
      </c>
      <c r="C245" s="87" t="str">
        <f t="shared" si="104"/>
        <v>2619267.58523383j</v>
      </c>
      <c r="D245" s="87">
        <f t="shared" si="105"/>
        <v>-2.4326929950605112</v>
      </c>
      <c r="E245" s="87" t="str">
        <f t="shared" si="106"/>
        <v>-2.91029731692648j</v>
      </c>
      <c r="F245" s="87" t="str">
        <f t="shared" si="107"/>
        <v>-2.43269299506051-2.91029731692648j</v>
      </c>
      <c r="G245" s="87">
        <f t="shared" si="108"/>
        <v>11.57995167387806</v>
      </c>
      <c r="H245" s="87">
        <f t="shared" si="109"/>
        <v>-129.89196631338788</v>
      </c>
      <c r="J245" s="87">
        <f t="shared" si="110"/>
        <v>14.187192118226601</v>
      </c>
      <c r="K245" s="87" t="str">
        <f t="shared" si="111"/>
        <v>1+131.159824330584j</v>
      </c>
      <c r="L245" s="87">
        <f t="shared" si="112"/>
        <v>-953.4732485896111</v>
      </c>
      <c r="M245" s="87" t="str">
        <f t="shared" si="113"/>
        <v>9.41194453226018j</v>
      </c>
      <c r="N245" s="87" t="str">
        <f t="shared" si="114"/>
        <v>-953.473248589611+9.41194453226018j</v>
      </c>
      <c r="O245" s="87" t="str">
        <f t="shared" si="115"/>
        <v>0.000309058291194726-0.137556995631602j</v>
      </c>
      <c r="P245" s="87" t="str">
        <f t="shared" si="116"/>
        <v>0.0043846693529104-1.95154752423159j</v>
      </c>
      <c r="R245" s="87">
        <f t="shared" si="117"/>
        <v>23.645320197044338</v>
      </c>
      <c r="S245" s="87" t="str">
        <f t="shared" si="118"/>
        <v>1+0.196445068892537j</v>
      </c>
      <c r="T245" s="87" t="str">
        <f t="shared" si="119"/>
        <v>-953.473248589611+9.41194453226018j</v>
      </c>
      <c r="U245" s="87" t="str">
        <f t="shared" si="120"/>
        <v>-0.00104666135767542-0.000216362847977323j</v>
      </c>
      <c r="V245" s="87" t="str">
        <f t="shared" si="121"/>
        <v>-0.0247486429401085-0.00511596881916823j</v>
      </c>
      <c r="X245" s="87" t="str">
        <f t="shared" si="122"/>
        <v>-0.432325712657767+0.359730491872035j</v>
      </c>
      <c r="Y245" s="87">
        <f t="shared" si="123"/>
        <v>-4.998849516031842</v>
      </c>
      <c r="Z245" s="87">
        <f t="shared" si="124"/>
        <v>-39.763236357984198</v>
      </c>
      <c r="AB245" s="87" t="str">
        <f t="shared" si="125"/>
        <v>-0.00940158565058076-0.00194346894718664j</v>
      </c>
      <c r="AC245" s="87">
        <f t="shared" si="126"/>
        <v>-40.354250936085464</v>
      </c>
      <c r="AD245" s="87">
        <f t="shared" si="127"/>
        <v>11.679511547400097</v>
      </c>
      <c r="AF245" s="87" t="str">
        <f t="shared" si="128"/>
        <v>-0.013364393186616+0.00504534175894307j</v>
      </c>
      <c r="AG245" s="87">
        <f t="shared" si="129"/>
        <v>-36.902368423529822</v>
      </c>
      <c r="AH245" s="87">
        <f t="shared" si="130"/>
        <v>-20.682584855876826</v>
      </c>
      <c r="AJ245" s="87" t="str">
        <f t="shared" si="131"/>
        <v>157232.41427825-6486.38181555645j</v>
      </c>
      <c r="AK245" s="87" t="str">
        <f t="shared" si="132"/>
        <v>29999.9999999998-0.00235734082671043j</v>
      </c>
      <c r="AL245" s="87" t="str">
        <f t="shared" si="146"/>
        <v>10000-8484.13592696694j</v>
      </c>
      <c r="AM245" s="87" t="str">
        <f t="shared" si="147"/>
        <v>579.936110479223-3104.42393254709j</v>
      </c>
      <c r="AN245" s="87" t="str">
        <f t="shared" si="148"/>
        <v>10579.9361104792-3104.42393254709j</v>
      </c>
      <c r="AO245" s="87" t="str">
        <f t="shared" si="149"/>
        <v>7950.5955174082-1686.81155598824j</v>
      </c>
      <c r="AP245" s="87" t="str">
        <f t="shared" si="150"/>
        <v>0.160036595248368+0.00554421351219603j</v>
      </c>
      <c r="AQ245" s="87" t="str">
        <f t="shared" si="133"/>
        <v>1+358.315805659988j</v>
      </c>
      <c r="AR245" s="87">
        <f t="shared" si="134"/>
        <v>-9.3752497504215118E-5</v>
      </c>
      <c r="AS245" s="87" t="str">
        <f t="shared" si="135"/>
        <v>0.0199425271551016j</v>
      </c>
      <c r="AT245" s="87" t="str">
        <f t="shared" si="136"/>
        <v>-0.0000937524975042151+0.0199425271551016j</v>
      </c>
      <c r="AU245" s="87" t="str">
        <f t="shared" si="137"/>
        <v>5.39003682433527-0.0403825155988368j</v>
      </c>
      <c r="AW245" s="87" t="str">
        <f t="shared" si="151"/>
        <v>0.194685794185148-0.380876827942937j</v>
      </c>
      <c r="AX245" s="87">
        <f t="shared" si="138"/>
        <v>-7.3762078478320259</v>
      </c>
      <c r="AY245" s="87">
        <f t="shared" si="139"/>
        <v>117.0739188561551</v>
      </c>
      <c r="AZ245" s="87" t="str">
        <f t="shared" si="140"/>
        <v>-0.00257057745679305+0.00320248032476983j</v>
      </c>
      <c r="BA245" s="87">
        <f t="shared" si="141"/>
        <v>-47.730458783917491</v>
      </c>
      <c r="BB245" s="87">
        <f t="shared" si="142"/>
        <v>-51.246569596444857</v>
      </c>
      <c r="BD245" s="87" t="str">
        <f t="shared" si="143"/>
        <v>-0.000680203736304642+0.00607244405157584j</v>
      </c>
      <c r="BE245" s="87">
        <f t="shared" si="144"/>
        <v>-44.278576271361828</v>
      </c>
      <c r="BF245" s="87">
        <f t="shared" si="145"/>
        <v>-83.608665999721737</v>
      </c>
      <c r="BH245" s="87">
        <f t="shared" si="152"/>
        <v>45.278576271361828</v>
      </c>
      <c r="BI245" s="107">
        <f t="shared" si="153"/>
        <v>83.608665999721737</v>
      </c>
      <c r="BJ245" s="91"/>
      <c r="BK245" s="91"/>
      <c r="BL245" s="91"/>
      <c r="BM245" s="91"/>
      <c r="BN245" s="42"/>
      <c r="BO245" s="42"/>
      <c r="BP245" s="42"/>
    </row>
    <row r="246" spans="1:68" s="87" customFormat="1">
      <c r="A246" s="87">
        <v>182</v>
      </c>
      <c r="B246" s="87">
        <f t="shared" si="103"/>
        <v>436515.83224016632</v>
      </c>
      <c r="C246" s="87" t="str">
        <f t="shared" si="104"/>
        <v>2742709.86348268j</v>
      </c>
      <c r="D246" s="87">
        <f t="shared" si="105"/>
        <v>-2.7638730231372781</v>
      </c>
      <c r="E246" s="87" t="str">
        <f t="shared" si="106"/>
        <v>-3.04745540386964j</v>
      </c>
      <c r="F246" s="87" t="str">
        <f t="shared" si="107"/>
        <v>-2.76387302313728-3.04745540386964j</v>
      </c>
      <c r="G246" s="87">
        <f t="shared" si="108"/>
        <v>12.28553785565069</v>
      </c>
      <c r="H246" s="87">
        <f t="shared" si="109"/>
        <v>-132.20628507365728</v>
      </c>
      <c r="J246" s="87">
        <f t="shared" si="110"/>
        <v>14.187192118226601</v>
      </c>
      <c r="K246" s="87" t="str">
        <f t="shared" si="111"/>
        <v>1+137.341196413895j</v>
      </c>
      <c r="L246" s="87">
        <f t="shared" si="112"/>
        <v>-1045.5591058804575</v>
      </c>
      <c r="M246" s="87" t="str">
        <f t="shared" si="113"/>
        <v>9.85551581240119j</v>
      </c>
      <c r="N246" s="87" t="str">
        <f t="shared" si="114"/>
        <v>-1045.55910588046+9.85551581240119j</v>
      </c>
      <c r="O246" s="87" t="str">
        <f t="shared" si="115"/>
        <v>0.000281726671207385-0.131354046920743j</v>
      </c>
      <c r="P246" s="87" t="str">
        <f t="shared" si="116"/>
        <v>0.00399691040924763-1.86354509917113j</v>
      </c>
      <c r="R246" s="87">
        <f t="shared" si="117"/>
        <v>23.645320197044338</v>
      </c>
      <c r="S246" s="87" t="str">
        <f t="shared" si="118"/>
        <v>1+0.205703239761201j</v>
      </c>
      <c r="T246" s="87" t="str">
        <f t="shared" si="119"/>
        <v>-1045.55910588046+9.85551581240119j</v>
      </c>
      <c r="U246" s="87" t="str">
        <f t="shared" si="120"/>
        <v>-0.000954486790920929-0.000205737005408898j</v>
      </c>
      <c r="V246" s="87" t="str">
        <f t="shared" si="121"/>
        <v>-0.0225691457951747-0.00486471736927444j</v>
      </c>
      <c r="X246" s="87" t="str">
        <f t="shared" si="122"/>
        <v>-0.432315642542712+0.390399676405729j</v>
      </c>
      <c r="Y246" s="87">
        <f t="shared" si="123"/>
        <v>-4.6940497642328314</v>
      </c>
      <c r="Z246" s="87">
        <f t="shared" si="124"/>
        <v>-42.083397923519101</v>
      </c>
      <c r="AB246" s="87" t="str">
        <f t="shared" si="125"/>
        <v>-0.00857363200751117-0.00184802282386887j</v>
      </c>
      <c r="AC246" s="87">
        <f t="shared" si="126"/>
        <v>-41.139474329348609</v>
      </c>
      <c r="AD246" s="87">
        <f t="shared" si="127"/>
        <v>12.163846702288453</v>
      </c>
      <c r="AF246" s="87" t="str">
        <f t="shared" si="128"/>
        <v>-0.0117734357136176+0.00484128659317138j</v>
      </c>
      <c r="AG246" s="87">
        <f t="shared" si="129"/>
        <v>-37.903460217162632</v>
      </c>
      <c r="AH246" s="87">
        <f t="shared" si="130"/>
        <v>-22.35267226173309</v>
      </c>
      <c r="AJ246" s="87" t="str">
        <f t="shared" si="131"/>
        <v>157206.646174803-6790.96245033144j</v>
      </c>
      <c r="AK246" s="87" t="str">
        <f t="shared" si="132"/>
        <v>29999.9999999998-0.0024684388771344j</v>
      </c>
      <c r="AL246" s="87" t="str">
        <f t="shared" si="146"/>
        <v>10000-8102.2869090515j</v>
      </c>
      <c r="AM246" s="87" t="str">
        <f t="shared" si="147"/>
        <v>558.497801259798-2989.8882426104j</v>
      </c>
      <c r="AN246" s="87" t="str">
        <f t="shared" si="148"/>
        <v>10558.4978012598-2989.8882426104j</v>
      </c>
      <c r="AO246" s="87" t="str">
        <f t="shared" si="149"/>
        <v>7929.76595596084-1626.97198727973j</v>
      </c>
      <c r="AP246" s="87" t="str">
        <f t="shared" si="150"/>
        <v>0.160040125723262+0.00580547984353383j</v>
      </c>
      <c r="AQ246" s="87" t="str">
        <f t="shared" si="133"/>
        <v>1+375.202709324431j</v>
      </c>
      <c r="AR246" s="87">
        <f t="shared" si="134"/>
        <v>-1.0280721716695406E-4</v>
      </c>
      <c r="AS246" s="87" t="str">
        <f t="shared" si="135"/>
        <v>0.0208823895043872j</v>
      </c>
      <c r="AT246" s="87" t="str">
        <f t="shared" si="136"/>
        <v>-0.000102807217166954+0.0208823895043872j</v>
      </c>
      <c r="AU246" s="87" t="str">
        <f t="shared" si="137"/>
        <v>5.39002530064911-0.0409020960671079j</v>
      </c>
      <c r="AW246" s="87" t="str">
        <f t="shared" si="151"/>
        <v>0.179956949405759-0.371655352610064j</v>
      </c>
      <c r="AX246" s="87">
        <f t="shared" si="138"/>
        <v>-7.6824453003463011</v>
      </c>
      <c r="AY246" s="87">
        <f t="shared" si="139"/>
        <v>115.83644395127237</v>
      </c>
      <c r="AZ246" s="87" t="str">
        <f t="shared" si="140"/>
        <v>-0.00222971223563571+0.00285387167708484j</v>
      </c>
      <c r="BA246" s="87">
        <f t="shared" si="141"/>
        <v>-48.821919629694904</v>
      </c>
      <c r="BB246" s="87">
        <f t="shared" si="142"/>
        <v>-51.999709346439261</v>
      </c>
      <c r="BD246" s="87" t="str">
        <f t="shared" si="143"/>
        <v>-0.000319421499175938+0.00524688356808258j</v>
      </c>
      <c r="BE246" s="87">
        <f t="shared" si="144"/>
        <v>-45.585905517508955</v>
      </c>
      <c r="BF246" s="87">
        <f t="shared" si="145"/>
        <v>-86.516228310460889</v>
      </c>
      <c r="BH246" s="87">
        <f t="shared" si="152"/>
        <v>46.585905517508955</v>
      </c>
      <c r="BI246" s="107">
        <f t="shared" si="153"/>
        <v>86.516228310460889</v>
      </c>
      <c r="BJ246" s="91"/>
      <c r="BK246" s="91"/>
      <c r="BL246" s="91"/>
      <c r="BM246" s="91"/>
      <c r="BN246" s="42"/>
      <c r="BO246" s="42"/>
      <c r="BP246" s="42"/>
    </row>
    <row r="247" spans="1:68" s="87" customFormat="1">
      <c r="A247" s="87">
        <v>183</v>
      </c>
      <c r="B247" s="87">
        <f t="shared" si="103"/>
        <v>457088.1896148753</v>
      </c>
      <c r="C247" s="87" t="str">
        <f t="shared" si="104"/>
        <v>2871969.7970735j</v>
      </c>
      <c r="D247" s="87">
        <f t="shared" si="105"/>
        <v>-3.1270047029215613</v>
      </c>
      <c r="E247" s="87" t="str">
        <f t="shared" si="106"/>
        <v>-3.19107755230389j</v>
      </c>
      <c r="F247" s="87" t="str">
        <f t="shared" si="107"/>
        <v>-3.12700470292156-3.19107755230389j</v>
      </c>
      <c r="G247" s="87">
        <f t="shared" si="108"/>
        <v>13.001852178606086</v>
      </c>
      <c r="H247" s="87">
        <f t="shared" si="109"/>
        <v>-134.41897274195901</v>
      </c>
      <c r="J247" s="87">
        <f t="shared" si="110"/>
        <v>14.187192118226601</v>
      </c>
      <c r="K247" s="87" t="str">
        <f t="shared" si="111"/>
        <v>1+143.813887588456j</v>
      </c>
      <c r="L247" s="87">
        <f t="shared" si="112"/>
        <v>-1146.5292405730293</v>
      </c>
      <c r="M247" s="87" t="str">
        <f t="shared" si="113"/>
        <v>10.3199919629323j</v>
      </c>
      <c r="N247" s="87" t="str">
        <f t="shared" si="114"/>
        <v>-1146.52924057303+10.3199919629323j</v>
      </c>
      <c r="O247" s="87" t="str">
        <f t="shared" si="115"/>
        <v>0.000256823162015942-0.125431809400353j</v>
      </c>
      <c r="P247" s="87" t="str">
        <f t="shared" si="116"/>
        <v>0.00364359953993061-1.77952517769959j</v>
      </c>
      <c r="R247" s="87">
        <f t="shared" si="117"/>
        <v>23.645320197044338</v>
      </c>
      <c r="S247" s="87" t="str">
        <f t="shared" si="118"/>
        <v>1+0.215397734780512j</v>
      </c>
      <c r="T247" s="87" t="str">
        <f t="shared" si="119"/>
        <v>-1146.52924057303+10.3199919629323j</v>
      </c>
      <c r="U247" s="87" t="str">
        <f t="shared" si="120"/>
        <v>-0.000870436006825181-0.000195704234514813j</v>
      </c>
      <c r="V247" s="87" t="str">
        <f t="shared" si="121"/>
        <v>-0.0205817380924181-0.00462748928902021j</v>
      </c>
      <c r="X247" s="87" t="str">
        <f t="shared" si="122"/>
        <v>-0.432306439160839+0.421894623716931j</v>
      </c>
      <c r="Y247" s="87">
        <f t="shared" si="123"/>
        <v>-4.3784526212723129</v>
      </c>
      <c r="Z247" s="87">
        <f t="shared" si="124"/>
        <v>-44.301659097421663</v>
      </c>
      <c r="AB247" s="87" t="str">
        <f t="shared" si="125"/>
        <v>-0.00781864985413383-0.00175790393853724j</v>
      </c>
      <c r="AC247" s="87">
        <f t="shared" si="126"/>
        <v>-41.923194751928591</v>
      </c>
      <c r="AD247" s="87">
        <f t="shared" si="127"/>
        <v>12.671369551603959</v>
      </c>
      <c r="AF247" s="87" t="str">
        <f t="shared" si="128"/>
        <v>-0.0103548813608769+0.00459889809738931j</v>
      </c>
      <c r="AG247" s="87">
        <f t="shared" si="129"/>
        <v>-38.915248489815703</v>
      </c>
      <c r="AH247" s="87">
        <f t="shared" si="130"/>
        <v>-23.947371652466785</v>
      </c>
      <c r="AJ247" s="87" t="str">
        <f t="shared" si="131"/>
        <v>157178.401717102-7109.73305411989j</v>
      </c>
      <c r="AK247" s="87" t="str">
        <f t="shared" si="132"/>
        <v>29999.9999999998-0.00258477281736613j</v>
      </c>
      <c r="AL247" s="87" t="str">
        <f t="shared" si="146"/>
        <v>9999.99999999992-7737.62392796272j</v>
      </c>
      <c r="AM247" s="87" t="str">
        <f t="shared" si="147"/>
        <v>536.741957802302-2879.73019228749j</v>
      </c>
      <c r="AN247" s="87" t="str">
        <f t="shared" si="148"/>
        <v>10536.7419578023-2879.73019228749j</v>
      </c>
      <c r="AO247" s="87" t="str">
        <f t="shared" si="149"/>
        <v>7909.40383807594-1569.31614263466j</v>
      </c>
      <c r="AP247" s="87" t="str">
        <f t="shared" si="150"/>
        <v>0.160043996777894+0.00607905566278721j</v>
      </c>
      <c r="AQ247" s="87" t="str">
        <f t="shared" si="133"/>
        <v>1+392.885468239655j</v>
      </c>
      <c r="AR247" s="87">
        <f t="shared" si="134"/>
        <v>-1.1273551984933683E-4</v>
      </c>
      <c r="AS247" s="87" t="str">
        <f t="shared" si="135"/>
        <v>0.0218665462015623j</v>
      </c>
      <c r="AT247" s="87" t="str">
        <f t="shared" si="136"/>
        <v>-0.000112735519849337+0.0218665462015623j</v>
      </c>
      <c r="AU247" s="87" t="str">
        <f t="shared" si="137"/>
        <v>5.39001266645721-0.0415084244023284j</v>
      </c>
      <c r="AW247" s="87" t="str">
        <f t="shared" si="151"/>
        <v>0.165943330358738-0.362106629090427j</v>
      </c>
      <c r="AX247" s="87">
        <f t="shared" si="138"/>
        <v>-7.9953693045766174</v>
      </c>
      <c r="AY247" s="87">
        <f t="shared" si="139"/>
        <v>114.6206607976239</v>
      </c>
      <c r="AZ247" s="87" t="str">
        <f t="shared" si="140"/>
        <v>-0.00193400146515233+0.00253947250870715j</v>
      </c>
      <c r="BA247" s="87">
        <f t="shared" si="141"/>
        <v>-49.918564056505218</v>
      </c>
      <c r="BB247" s="87">
        <f t="shared" si="142"/>
        <v>-52.707969650772213</v>
      </c>
      <c r="BD247" s="87" t="str">
        <f t="shared" si="143"/>
        <v>-0.0000530320109175063+0.00451272765047967j</v>
      </c>
      <c r="BE247" s="87">
        <f t="shared" si="144"/>
        <v>-46.910617794392337</v>
      </c>
      <c r="BF247" s="87">
        <f t="shared" si="145"/>
        <v>-89.326710854842943</v>
      </c>
      <c r="BH247" s="87">
        <f t="shared" si="152"/>
        <v>47.910617794392337</v>
      </c>
      <c r="BI247" s="107">
        <f t="shared" si="153"/>
        <v>89.326710854842943</v>
      </c>
      <c r="BJ247" s="91"/>
      <c r="BK247" s="91"/>
      <c r="BL247" s="91"/>
      <c r="BM247" s="91"/>
      <c r="BN247" s="42"/>
      <c r="BO247" s="42"/>
      <c r="BP247" s="42"/>
    </row>
    <row r="248" spans="1:68" s="87" customFormat="1">
      <c r="A248" s="87">
        <v>184</v>
      </c>
      <c r="B248" s="87">
        <f t="shared" si="103"/>
        <v>478630.09232263849</v>
      </c>
      <c r="C248" s="87" t="str">
        <f t="shared" si="104"/>
        <v>3007321.56365561j</v>
      </c>
      <c r="D248" s="87">
        <f t="shared" si="105"/>
        <v>-3.5251706721338714</v>
      </c>
      <c r="E248" s="87" t="str">
        <f t="shared" si="106"/>
        <v>-3.34146840406179j</v>
      </c>
      <c r="F248" s="87" t="str">
        <f t="shared" si="107"/>
        <v>-3.52517067213387-3.34146840406179j</v>
      </c>
      <c r="G248" s="87">
        <f t="shared" si="108"/>
        <v>13.727691658471354</v>
      </c>
      <c r="H248" s="87">
        <f t="shared" si="109"/>
        <v>-136.53246072088189</v>
      </c>
      <c r="J248" s="87">
        <f t="shared" si="110"/>
        <v>14.187192118226601</v>
      </c>
      <c r="K248" s="87" t="str">
        <f t="shared" si="111"/>
        <v>1+150.591627300055j</v>
      </c>
      <c r="L248" s="87">
        <f t="shared" si="112"/>
        <v>-1257.240791725073</v>
      </c>
      <c r="M248" s="87" t="str">
        <f t="shared" si="113"/>
        <v>10.8063582000423j</v>
      </c>
      <c r="N248" s="87" t="str">
        <f t="shared" si="114"/>
        <v>-1257.24079172507+10.8063582000423j</v>
      </c>
      <c r="O248" s="87" t="str">
        <f t="shared" si="115"/>
        <v>0.000234130200589289-0.11977745090391j</v>
      </c>
      <c r="P248" s="87" t="str">
        <f t="shared" si="116"/>
        <v>0.00332165013643917-1.69930570740523j</v>
      </c>
      <c r="R248" s="87">
        <f t="shared" si="117"/>
        <v>23.645320197044338</v>
      </c>
      <c r="S248" s="87" t="str">
        <f t="shared" si="118"/>
        <v>1+0.225549117274171j</v>
      </c>
      <c r="T248" s="87" t="str">
        <f t="shared" si="119"/>
        <v>-1257.24079172507+10.8063582000423j</v>
      </c>
      <c r="U248" s="87" t="str">
        <f t="shared" si="120"/>
        <v>-0.000793791940591811-0.000186222972450063j</v>
      </c>
      <c r="V248" s="87" t="str">
        <f t="shared" si="121"/>
        <v>-0.0187694646051266-0.00440330181162711j</v>
      </c>
      <c r="X248" s="87" t="str">
        <f t="shared" si="122"/>
        <v>-0.432298029508755+0.454282439584136j</v>
      </c>
      <c r="Y248" s="87">
        <f t="shared" si="123"/>
        <v>-4.0532671735364474</v>
      </c>
      <c r="Z248" s="87">
        <f t="shared" si="124"/>
        <v>-46.420464221008331</v>
      </c>
      <c r="AB248" s="87" t="str">
        <f t="shared" si="125"/>
        <v>-0.00713019819016663-0.00167273895492179j</v>
      </c>
      <c r="AC248" s="87">
        <f t="shared" si="126"/>
        <v>-42.70529190431516</v>
      </c>
      <c r="AD248" s="87">
        <f t="shared" si="127"/>
        <v>13.202788173094802</v>
      </c>
      <c r="AF248" s="87" t="str">
        <f t="shared" si="128"/>
        <v>-0.0090942025468107+0.00433078920263067j</v>
      </c>
      <c r="AG248" s="87">
        <f t="shared" si="129"/>
        <v>-39.937040501625646</v>
      </c>
      <c r="AH248" s="87">
        <f t="shared" si="130"/>
        <v>-25.46445724461924</v>
      </c>
      <c r="AJ248" s="87" t="str">
        <f t="shared" si="131"/>
        <v>157147.443947806-7443.33812550718j</v>
      </c>
      <c r="AK248" s="87" t="str">
        <f t="shared" si="132"/>
        <v>29999.9999999998-0.00270658940729003j</v>
      </c>
      <c r="AL248" s="87" t="str">
        <f t="shared" si="146"/>
        <v>10000-7389.37348462651j</v>
      </c>
      <c r="AM248" s="87" t="str">
        <f t="shared" si="147"/>
        <v>514.755490943386-2773.67858458469j</v>
      </c>
      <c r="AN248" s="87" t="str">
        <f t="shared" si="148"/>
        <v>10514.7554909434-2773.67858458469j</v>
      </c>
      <c r="AO248" s="87" t="str">
        <f t="shared" si="149"/>
        <v>7889.50077921439-1513.7059213492j</v>
      </c>
      <c r="AP248" s="87" t="str">
        <f t="shared" si="150"/>
        <v>0.160048241263883+0.00636552056274701j</v>
      </c>
      <c r="AQ248" s="87" t="str">
        <f t="shared" si="133"/>
        <v>1+411.401589908087j</v>
      </c>
      <c r="AR248" s="87">
        <f t="shared" si="134"/>
        <v>-1.2362168726527933E-4</v>
      </c>
      <c r="AS248" s="87" t="str">
        <f t="shared" si="135"/>
        <v>0.0228970847749298j</v>
      </c>
      <c r="AT248" s="87" t="str">
        <f t="shared" si="136"/>
        <v>-0.000123621687265279+0.0228970847749298j</v>
      </c>
      <c r="AU248" s="87" t="str">
        <f t="shared" si="137"/>
        <v>5.38999881452397-0.042202785084123j</v>
      </c>
      <c r="AW248" s="87" t="str">
        <f t="shared" si="151"/>
        <v>0.152649499062803-0.352292784759325j</v>
      </c>
      <c r="AX248" s="87">
        <f t="shared" si="138"/>
        <v>-8.3146693832175096</v>
      </c>
      <c r="AY248" s="87">
        <f t="shared" si="139"/>
        <v>113.42722664212012</v>
      </c>
      <c r="AZ248" s="87" t="str">
        <f t="shared" si="140"/>
        <v>-0.00167771504655224+0.00225657461276805j</v>
      </c>
      <c r="BA248" s="87">
        <f t="shared" si="141"/>
        <v>-51.019961287532674</v>
      </c>
      <c r="BB248" s="87">
        <f t="shared" si="142"/>
        <v>-53.369985184785065</v>
      </c>
      <c r="BD248" s="87" t="str">
        <f t="shared" si="143"/>
        <v>0.000137480325254052+0.00386491474270945j</v>
      </c>
      <c r="BE248" s="87">
        <f t="shared" si="144"/>
        <v>-48.251709884843166</v>
      </c>
      <c r="BF248" s="87">
        <f t="shared" si="145"/>
        <v>-92.037230602499093</v>
      </c>
      <c r="BH248" s="87">
        <f t="shared" si="152"/>
        <v>49.251709884843166</v>
      </c>
      <c r="BI248" s="107">
        <f t="shared" si="153"/>
        <v>92.037230602499093</v>
      </c>
      <c r="BJ248" s="91"/>
      <c r="BK248" s="91"/>
      <c r="BL248" s="91"/>
      <c r="BM248" s="91"/>
      <c r="BN248" s="42"/>
      <c r="BO248" s="42"/>
      <c r="BP248" s="42"/>
    </row>
    <row r="249" spans="1:68" s="87" customFormat="1">
      <c r="A249" s="87">
        <v>185</v>
      </c>
      <c r="B249" s="87">
        <f t="shared" si="103"/>
        <v>501187.23362727324</v>
      </c>
      <c r="C249" s="87" t="str">
        <f t="shared" si="104"/>
        <v>3149052.26247287j</v>
      </c>
      <c r="D249" s="87">
        <f t="shared" si="105"/>
        <v>-3.9617509758214249</v>
      </c>
      <c r="E249" s="87" t="str">
        <f t="shared" si="106"/>
        <v>-3.49894695830319j</v>
      </c>
      <c r="F249" s="87" t="str">
        <f t="shared" si="107"/>
        <v>-3.96175097582142-3.49894695830319j</v>
      </c>
      <c r="G249" s="87">
        <f t="shared" si="108"/>
        <v>14.461968770104489</v>
      </c>
      <c r="H249" s="87">
        <f t="shared" si="109"/>
        <v>-138.54963883564227</v>
      </c>
      <c r="J249" s="87">
        <f t="shared" si="110"/>
        <v>14.187192118226601</v>
      </c>
      <c r="K249" s="87" t="str">
        <f t="shared" si="111"/>
        <v>1+157.688792043329j</v>
      </c>
      <c r="L249" s="87">
        <f t="shared" si="112"/>
        <v>-1378.6335936244905</v>
      </c>
      <c r="M249" s="87" t="str">
        <f t="shared" si="113"/>
        <v>11.3156461717283j</v>
      </c>
      <c r="N249" s="87" t="str">
        <f t="shared" si="114"/>
        <v>-1378.63359362449+11.3156461717283j</v>
      </c>
      <c r="O249" s="87" t="str">
        <f t="shared" si="115"/>
        <v>0.000213450027861025-0.11437874243567j</v>
      </c>
      <c r="P249" s="87" t="str">
        <f t="shared" si="116"/>
        <v>0.00302825655290518-1.62271319317601j</v>
      </c>
      <c r="R249" s="87">
        <f t="shared" si="117"/>
        <v>23.645320197044338</v>
      </c>
      <c r="S249" s="87" t="str">
        <f t="shared" si="118"/>
        <v>1+0.236178919685465j</v>
      </c>
      <c r="T249" s="87" t="str">
        <f t="shared" si="119"/>
        <v>-1378.63359362449+11.3156461717283j</v>
      </c>
      <c r="U249" s="87" t="str">
        <f t="shared" si="120"/>
        <v>-0.000723901002111784-0.000177255456720927j</v>
      </c>
      <c r="V249" s="87" t="str">
        <f t="shared" si="121"/>
        <v>-0.0171168709858944-0.00419126203083965j</v>
      </c>
      <c r="X249" s="87" t="str">
        <f t="shared" si="122"/>
        <v>-0.432290346456203+0.487632084772557j</v>
      </c>
      <c r="Y249" s="87">
        <f t="shared" si="123"/>
        <v>-3.7195865098680496</v>
      </c>
      <c r="Z249" s="87">
        <f t="shared" si="124"/>
        <v>-48.442715370006141</v>
      </c>
      <c r="AB249" s="87" t="str">
        <f t="shared" si="125"/>
        <v>-0.00650240617367449-0.00159218867322643j</v>
      </c>
      <c r="AC249" s="87">
        <f t="shared" si="126"/>
        <v>-43.485635088868541</v>
      </c>
      <c r="AD249" s="87">
        <f t="shared" si="127"/>
        <v>13.758812205538334</v>
      </c>
      <c r="AF249" s="87" t="str">
        <f t="shared" si="128"/>
        <v>-0.00797722935223937+0.00404742863217425j</v>
      </c>
      <c r="AG249" s="87">
        <f t="shared" si="129"/>
        <v>-40.968130313806853</v>
      </c>
      <c r="AH249" s="87">
        <f t="shared" si="130"/>
        <v>-26.901994641982668</v>
      </c>
      <c r="AJ249" s="87" t="str">
        <f t="shared" si="131"/>
        <v>157113.513442155-7792.44897327877j</v>
      </c>
      <c r="AK249" s="87" t="str">
        <f t="shared" si="132"/>
        <v>29999.9999999997-0.00283414703622556j</v>
      </c>
      <c r="AL249" s="87" t="str">
        <f t="shared" si="146"/>
        <v>10000-7056.79689316166j</v>
      </c>
      <c r="AM249" s="87" t="str">
        <f t="shared" si="147"/>
        <v>492.629130209991-2671.48296316846j</v>
      </c>
      <c r="AN249" s="87" t="str">
        <f t="shared" si="148"/>
        <v>10492.62913021-2671.48296316846j</v>
      </c>
      <c r="AO249" s="87" t="str">
        <f t="shared" si="149"/>
        <v>7870.05630006979-1460.01324865543j</v>
      </c>
      <c r="AP249" s="87" t="str">
        <f t="shared" si="150"/>
        <v>0.16005289520092+0.00666548137225091j</v>
      </c>
      <c r="AQ249" s="87" t="str">
        <f t="shared" si="133"/>
        <v>1+430.790349506289j</v>
      </c>
      <c r="AR249" s="87">
        <f t="shared" si="134"/>
        <v>-1.3555813247642564E-4</v>
      </c>
      <c r="AS249" s="87" t="str">
        <f t="shared" si="135"/>
        <v>0.0239761911349707j</v>
      </c>
      <c r="AT249" s="87" t="str">
        <f t="shared" si="136"/>
        <v>-0.000135558132476426+0.0239761911349707j</v>
      </c>
      <c r="AU249" s="87" t="str">
        <f t="shared" si="137"/>
        <v>5.38998362727951-0.0429866490799386j</v>
      </c>
      <c r="AW249" s="87" t="str">
        <f t="shared" si="151"/>
        <v>0.140073809083994-0.342273401477582j</v>
      </c>
      <c r="AX249" s="87">
        <f t="shared" si="138"/>
        <v>-8.6400358558920569</v>
      </c>
      <c r="AY249" s="87">
        <f t="shared" si="139"/>
        <v>112.25660506006245</v>
      </c>
      <c r="AZ249" s="87" t="str">
        <f t="shared" si="140"/>
        <v>-0.00145578063393715+0.00200257674661318j</v>
      </c>
      <c r="BA249" s="87">
        <f t="shared" si="141"/>
        <v>-52.125670944760607</v>
      </c>
      <c r="BB249" s="87">
        <f t="shared" si="142"/>
        <v>-53.984582734399268</v>
      </c>
      <c r="BD249" s="87" t="str">
        <f t="shared" si="143"/>
        <v>0.00026792626386723+0.00329733217026204j</v>
      </c>
      <c r="BE249" s="87">
        <f t="shared" si="144"/>
        <v>-49.608166169698926</v>
      </c>
      <c r="BF249" s="87">
        <f t="shared" si="145"/>
        <v>-94.64538958192027</v>
      </c>
      <c r="BH249" s="87">
        <f t="shared" si="152"/>
        <v>50.608166169698926</v>
      </c>
      <c r="BI249" s="107">
        <f t="shared" si="153"/>
        <v>94.64538958192027</v>
      </c>
      <c r="BJ249" s="91"/>
      <c r="BK249" s="91"/>
      <c r="BL249" s="91"/>
      <c r="BM249" s="91"/>
      <c r="BN249" s="42"/>
      <c r="BO249" s="42"/>
      <c r="BP249" s="42"/>
    </row>
    <row r="250" spans="1:68" s="87" customFormat="1">
      <c r="A250" s="87">
        <v>186</v>
      </c>
      <c r="B250" s="87">
        <f t="shared" si="103"/>
        <v>524807.46024977358</v>
      </c>
      <c r="C250" s="87" t="str">
        <f t="shared" si="104"/>
        <v>3297462.52333961j</v>
      </c>
      <c r="D250" s="87">
        <f t="shared" si="105"/>
        <v>-4.4404517596803288</v>
      </c>
      <c r="E250" s="87" t="str">
        <f t="shared" si="106"/>
        <v>-3.66384724815512j</v>
      </c>
      <c r="F250" s="87" t="str">
        <f t="shared" si="107"/>
        <v>-4.44045175968033-3.66384724815512j</v>
      </c>
      <c r="G250" s="87">
        <f t="shared" si="108"/>
        <v>15.20370699616951</v>
      </c>
      <c r="H250" s="87">
        <f t="shared" si="109"/>
        <v>-140.47372554929584</v>
      </c>
      <c r="J250" s="87">
        <f t="shared" si="110"/>
        <v>14.187192118226601</v>
      </c>
      <c r="K250" s="87" t="str">
        <f t="shared" si="111"/>
        <v>1+165.120435856231j</v>
      </c>
      <c r="L250" s="87">
        <f t="shared" si="112"/>
        <v>-1511.7381540759113</v>
      </c>
      <c r="M250" s="87" t="str">
        <f t="shared" si="113"/>
        <v>11.8489361460595j</v>
      </c>
      <c r="N250" s="87" t="str">
        <f t="shared" si="114"/>
        <v>-1511.73815407591+11.8489361460595j</v>
      </c>
      <c r="O250" s="87" t="str">
        <f t="shared" si="115"/>
        <v>0.00019460283453774-0.109224027702472j</v>
      </c>
      <c r="P250" s="87" t="str">
        <f t="shared" si="116"/>
        <v>0.00276086780033838-1.54958226494147j</v>
      </c>
      <c r="R250" s="87">
        <f t="shared" si="117"/>
        <v>23.645320197044338</v>
      </c>
      <c r="S250" s="87" t="str">
        <f t="shared" si="118"/>
        <v>1+0.247309689250471j</v>
      </c>
      <c r="T250" s="87" t="str">
        <f t="shared" si="119"/>
        <v>-1511.73815407591+11.8489361460595j</v>
      </c>
      <c r="U250" s="87" t="str">
        <f t="shared" si="120"/>
        <v>-0.000660167426689446-0.000168767302887172j</v>
      </c>
      <c r="V250" s="87" t="str">
        <f t="shared" si="121"/>
        <v>-0.0156098701877307-0.00399055691555875j</v>
      </c>
      <c r="X250" s="87" t="str">
        <f t="shared" si="122"/>
        <v>-0.43228332832239+0.522014526349516j</v>
      </c>
      <c r="Y250" s="87">
        <f t="shared" si="123"/>
        <v>-3.3783922205164467</v>
      </c>
      <c r="Z250" s="87">
        <f t="shared" si="124"/>
        <v>-50.371642614462303</v>
      </c>
      <c r="AB250" s="87" t="str">
        <f t="shared" si="125"/>
        <v>-0.00592992237673594-0.00151594423685917j</v>
      </c>
      <c r="AC250" s="87">
        <f t="shared" si="126"/>
        <v>-44.264082715925937</v>
      </c>
      <c r="AD250" s="87">
        <f t="shared" si="127"/>
        <v>14.340148260846348</v>
      </c>
      <c r="AF250" s="87" t="str">
        <f t="shared" si="128"/>
        <v>-0.0069903346100301+0.00375735306013993j</v>
      </c>
      <c r="AG250" s="87">
        <f t="shared" si="129"/>
        <v>-42.007802427170724</v>
      </c>
      <c r="AH250" s="87">
        <f t="shared" si="130"/>
        <v>-28.258336173964324</v>
      </c>
      <c r="AJ250" s="87" t="str">
        <f t="shared" si="131"/>
        <v>157076.326219377-8157.76445944314j</v>
      </c>
      <c r="AK250" s="87" t="str">
        <f t="shared" si="132"/>
        <v>29999.9999999997-0.00296771627100562j</v>
      </c>
      <c r="AL250" s="87" t="str">
        <f t="shared" si="146"/>
        <v>10000-6739.18871402852j</v>
      </c>
      <c r="AM250" s="87" t="str">
        <f t="shared" si="147"/>
        <v>470.455951001801-2572.91366317418j</v>
      </c>
      <c r="AN250" s="87" t="str">
        <f t="shared" si="148"/>
        <v>10470.4559510018-2572.91366317418j</v>
      </c>
      <c r="AO250" s="87" t="str">
        <f t="shared" si="149"/>
        <v>7851.07654172249-1408.12042327794j</v>
      </c>
      <c r="AP250" s="87" t="str">
        <f t="shared" si="150"/>
        <v>0.16005799808213+0.00697957342803128j</v>
      </c>
      <c r="AQ250" s="87" t="str">
        <f t="shared" si="133"/>
        <v>1+451.092873192859j</v>
      </c>
      <c r="AR250" s="87">
        <f t="shared" si="134"/>
        <v>-1.4864618438990346E-4</v>
      </c>
      <c r="AS250" s="87" t="str">
        <f t="shared" si="135"/>
        <v>0.0251061542109527j</v>
      </c>
      <c r="AT250" s="87" t="str">
        <f t="shared" si="136"/>
        <v>-0.000148646184389903+0.0251061542109527j</v>
      </c>
      <c r="AU250" s="87" t="str">
        <f t="shared" si="137"/>
        <v>5.38996697582247-0.0438616769295231j</v>
      </c>
      <c r="AW250" s="87" t="str">
        <f t="shared" si="151"/>
        <v>0.128209064220396-0.332104939776592j</v>
      </c>
      <c r="AX250" s="87">
        <f t="shared" si="138"/>
        <v>-8.9711626376790559</v>
      </c>
      <c r="AY250" s="87">
        <f t="shared" si="139"/>
        <v>111.10907436977134</v>
      </c>
      <c r="AZ250" s="87" t="str">
        <f t="shared" si="140"/>
        <v>-0.00126372236830769+0.00177499872178774j</v>
      </c>
      <c r="BA250" s="87">
        <f t="shared" si="141"/>
        <v>-53.235245353604981</v>
      </c>
      <c r="BB250" s="87">
        <f t="shared" si="142"/>
        <v>-54.550777369382274</v>
      </c>
      <c r="BD250" s="87" t="str">
        <f t="shared" si="143"/>
        <v>0.000351611252817757+0.00280325137446846j</v>
      </c>
      <c r="BE250" s="87">
        <f t="shared" si="144"/>
        <v>-50.97896506484976</v>
      </c>
      <c r="BF250" s="87">
        <f t="shared" si="145"/>
        <v>-97.149261804192918</v>
      </c>
      <c r="BH250" s="87">
        <f t="shared" si="152"/>
        <v>51.97896506484976</v>
      </c>
      <c r="BI250" s="107">
        <f t="shared" si="153"/>
        <v>97.149261804192918</v>
      </c>
      <c r="BJ250" s="91"/>
      <c r="BK250" s="91"/>
      <c r="BL250" s="91"/>
      <c r="BM250" s="91"/>
      <c r="BN250" s="42"/>
      <c r="BO250" s="42"/>
      <c r="BP250" s="42"/>
    </row>
    <row r="251" spans="1:68" s="87" customFormat="1">
      <c r="A251" s="87">
        <v>187</v>
      </c>
      <c r="B251" s="87">
        <f t="shared" si="103"/>
        <v>549540.87385762541</v>
      </c>
      <c r="C251" s="87" t="str">
        <f t="shared" si="104"/>
        <v>3452867.14431686j</v>
      </c>
      <c r="D251" s="87">
        <f t="shared" si="105"/>
        <v>-4.965336731658331</v>
      </c>
      <c r="E251" s="87" t="str">
        <f t="shared" si="106"/>
        <v>-3.83651904924096j</v>
      </c>
      <c r="F251" s="87" t="str">
        <f t="shared" si="107"/>
        <v>-4.96533673165833-3.83651904924096j</v>
      </c>
      <c r="G251" s="87">
        <f t="shared" si="108"/>
        <v>15.952034403556411</v>
      </c>
      <c r="H251" s="87">
        <f t="shared" si="109"/>
        <v>-142.30815876662982</v>
      </c>
      <c r="J251" s="87">
        <f t="shared" si="110"/>
        <v>14.187192118226601</v>
      </c>
      <c r="K251" s="87" t="str">
        <f t="shared" si="111"/>
        <v>1+172.902322251667j</v>
      </c>
      <c r="L251" s="87">
        <f t="shared" si="112"/>
        <v>-1657.6844024181346</v>
      </c>
      <c r="M251" s="87" t="str">
        <f t="shared" si="113"/>
        <v>12.4073593025711j</v>
      </c>
      <c r="N251" s="87" t="str">
        <f t="shared" si="114"/>
        <v>-1657.68440241813+12.4073593025711j</v>
      </c>
      <c r="O251" s="87" t="str">
        <f t="shared" si="115"/>
        <v>0.000177425088959622-0.104302194448245j</v>
      </c>
      <c r="P251" s="87" t="str">
        <f t="shared" si="116"/>
        <v>0.0025171638236636-1.47975527098988j</v>
      </c>
      <c r="R251" s="87">
        <f t="shared" si="117"/>
        <v>23.645320197044338</v>
      </c>
      <c r="S251" s="87" t="str">
        <f t="shared" si="118"/>
        <v>1+0.258965035823765j</v>
      </c>
      <c r="T251" s="87" t="str">
        <f t="shared" si="119"/>
        <v>-1657.68440241813+12.4073593025711j</v>
      </c>
      <c r="U251" s="87" t="str">
        <f t="shared" si="120"/>
        <v>-0.000602048133674313-0.000160727134155962j</v>
      </c>
      <c r="V251" s="87" t="str">
        <f t="shared" si="121"/>
        <v>-0.0142356208947621-0.00380044455147102j</v>
      </c>
      <c r="X251" s="87" t="str">
        <f t="shared" si="122"/>
        <v>-0.432276918473731+0.557502892600914j</v>
      </c>
      <c r="Y251" s="87">
        <f t="shared" si="123"/>
        <v>-3.030560864112033</v>
      </c>
      <c r="Z251" s="87">
        <f t="shared" si="124"/>
        <v>-52.210694863538947</v>
      </c>
      <c r="AB251" s="87" t="str">
        <f t="shared" si="125"/>
        <v>-0.00540786860334881-0.0014437238052771j</v>
      </c>
      <c r="AC251" s="87">
        <f t="shared" si="126"/>
        <v>-45.040481821792568</v>
      </c>
      <c r="AD251" s="87">
        <f t="shared" si="127"/>
        <v>14.947494710530975</v>
      </c>
      <c r="AF251" s="87" t="str">
        <f t="shared" si="128"/>
        <v>-0.00612057479480755+0.00346738473608681j</v>
      </c>
      <c r="AG251" s="87">
        <f t="shared" si="129"/>
        <v>-43.055335103160317</v>
      </c>
      <c r="AH251" s="87">
        <f t="shared" si="130"/>
        <v>-29.532114183316082</v>
      </c>
      <c r="AJ251" s="87" t="str">
        <f t="shared" si="131"/>
        <v>157035.571468363-8540.01170209109j</v>
      </c>
      <c r="AK251" s="87" t="str">
        <f t="shared" si="132"/>
        <v>29999.9999999997-0.00310758042988515j</v>
      </c>
      <c r="AL251" s="87" t="str">
        <f t="shared" si="146"/>
        <v>10000-6435.87525769654j</v>
      </c>
      <c r="AM251" s="87" t="str">
        <f t="shared" si="147"/>
        <v>448.329818788504-2477.76162169931j</v>
      </c>
      <c r="AN251" s="87" t="str">
        <f t="shared" si="148"/>
        <v>10448.3298187885-2477.76162169931j</v>
      </c>
      <c r="AO251" s="87" t="str">
        <f t="shared" si="149"/>
        <v>7832.57294691461-1357.92029927315j</v>
      </c>
      <c r="AP251" s="87" t="str">
        <f t="shared" si="150"/>
        <v>0.160063593208851+0.00730846190476455j</v>
      </c>
      <c r="AQ251" s="87" t="str">
        <f t="shared" si="133"/>
        <v>1+472.352225342546j</v>
      </c>
      <c r="AR251" s="87">
        <f t="shared" si="134"/>
        <v>-1.6299694794302369E-4</v>
      </c>
      <c r="AS251" s="87" t="str">
        <f t="shared" si="135"/>
        <v>0.0262893708060568j</v>
      </c>
      <c r="AT251" s="87" t="str">
        <f t="shared" si="136"/>
        <v>-0.000162996947943024+0.0262893708060568j</v>
      </c>
      <c r="AU251" s="87" t="str">
        <f t="shared" si="137"/>
        <v>5.38994871882663-0.04482972222624j</v>
      </c>
      <c r="AW251" s="87" t="str">
        <f t="shared" si="151"/>
        <v>0.11704320848883-0.321840295682534j</v>
      </c>
      <c r="AX251" s="87">
        <f t="shared" si="138"/>
        <v>-9.3077497408217553</v>
      </c>
      <c r="AY251" s="87">
        <f t="shared" si="139"/>
        <v>109.98473760468367</v>
      </c>
      <c r="AZ251" s="87" t="str">
        <f t="shared" si="140"/>
        <v>-0.00109760278879625+0.00157149196397274j</v>
      </c>
      <c r="BA251" s="87">
        <f t="shared" si="141"/>
        <v>-54.348231562614309</v>
      </c>
      <c r="BB251" s="87">
        <f t="shared" si="142"/>
        <v>-55.067767684785309</v>
      </c>
      <c r="BD251" s="87" t="str">
        <f t="shared" si="143"/>
        <v>0.000399572416927146+0.00237568143628473j</v>
      </c>
      <c r="BE251" s="87">
        <f t="shared" si="144"/>
        <v>-52.363084843982044</v>
      </c>
      <c r="BF251" s="87">
        <f t="shared" si="145"/>
        <v>-99.547376578632395</v>
      </c>
      <c r="BH251" s="87">
        <f t="shared" si="152"/>
        <v>53.363084843982044</v>
      </c>
      <c r="BI251" s="107">
        <f t="shared" si="153"/>
        <v>99.547376578632395</v>
      </c>
      <c r="BJ251" s="91"/>
      <c r="BK251" s="91"/>
      <c r="BL251" s="91"/>
      <c r="BM251" s="91"/>
      <c r="BN251" s="42"/>
      <c r="BO251" s="42"/>
      <c r="BP251" s="42"/>
    </row>
    <row r="252" spans="1:68" s="87" customFormat="1">
      <c r="A252" s="87">
        <v>188</v>
      </c>
      <c r="B252" s="87">
        <f t="shared" si="103"/>
        <v>575439.93733715767</v>
      </c>
      <c r="C252" s="87" t="str">
        <f t="shared" si="104"/>
        <v>3615595.75944117j</v>
      </c>
      <c r="D252" s="87">
        <f t="shared" si="105"/>
        <v>-5.5408616589154089</v>
      </c>
      <c r="E252" s="87" t="str">
        <f t="shared" si="106"/>
        <v>-4.0173286216013j</v>
      </c>
      <c r="F252" s="87" t="str">
        <f t="shared" si="107"/>
        <v>-5.54086165891541-4.0173286216013j</v>
      </c>
      <c r="G252" s="87">
        <f t="shared" si="108"/>
        <v>16.706176019766271</v>
      </c>
      <c r="H252" s="87">
        <f t="shared" si="109"/>
        <v>-144.05650600341434</v>
      </c>
      <c r="J252" s="87">
        <f t="shared" si="110"/>
        <v>14.187192118226601</v>
      </c>
      <c r="K252" s="87" t="str">
        <f t="shared" si="111"/>
        <v>1+181.050957654017j</v>
      </c>
      <c r="L252" s="87">
        <f t="shared" si="112"/>
        <v>-1817.7112815342725</v>
      </c>
      <c r="M252" s="87" t="str">
        <f t="shared" si="113"/>
        <v>12.9921001316471j</v>
      </c>
      <c r="N252" s="87" t="str">
        <f t="shared" si="114"/>
        <v>-1817.71128153427+12.9921001316471j</v>
      </c>
      <c r="O252" s="87" t="str">
        <f t="shared" si="115"/>
        <v>0.0001617680277859-0.099602647453882j</v>
      </c>
      <c r="P252" s="87" t="str">
        <f t="shared" si="116"/>
        <v>0.00229503408878518-1.41308189491222j</v>
      </c>
      <c r="R252" s="87">
        <f t="shared" si="117"/>
        <v>23.645320197044338</v>
      </c>
      <c r="S252" s="87" t="str">
        <f t="shared" si="118"/>
        <v>1+0.271169681958088j</v>
      </c>
      <c r="T252" s="87" t="str">
        <f t="shared" si="119"/>
        <v>-1817.71128153427+12.9921001316471j</v>
      </c>
      <c r="U252" s="87" t="str">
        <f t="shared" si="120"/>
        <v>-0.000549048046478742-0.000153106256192743j</v>
      </c>
      <c r="V252" s="87" t="str">
        <f t="shared" si="121"/>
        <v>-0.0129824168625515-0.00362024645184811j</v>
      </c>
      <c r="X252" s="87" t="str">
        <f t="shared" si="122"/>
        <v>-0.432271064943994+0.594172631962817j</v>
      </c>
      <c r="Y252" s="87">
        <f t="shared" si="123"/>
        <v>-2.6768716308195781</v>
      </c>
      <c r="Z252" s="87">
        <f t="shared" si="124"/>
        <v>-53.963450072275919</v>
      </c>
      <c r="AB252" s="87" t="str">
        <f t="shared" si="125"/>
        <v>-0.0049317978517123-0.00137526963299071j</v>
      </c>
      <c r="AC252" s="87">
        <f t="shared" si="126"/>
        <v>-45.814667610105261</v>
      </c>
      <c r="AD252" s="87">
        <f t="shared" si="127"/>
        <v>15.581535802039582</v>
      </c>
      <c r="AF252" s="87" t="str">
        <f t="shared" si="128"/>
        <v>-0.00535579038314065+0.00318284717163985j</v>
      </c>
      <c r="AG252" s="87">
        <f t="shared" si="129"/>
        <v>-44.110003340189508</v>
      </c>
      <c r="AH252" s="87">
        <f t="shared" si="130"/>
        <v>-30.722232741602284</v>
      </c>
      <c r="AJ252" s="87" t="str">
        <f t="shared" si="131"/>
        <v>156990.909072839-8939.94672555448j</v>
      </c>
      <c r="AK252" s="87" t="str">
        <f t="shared" si="132"/>
        <v>29999.9999999996-0.00325403618349701j</v>
      </c>
      <c r="AL252" s="87" t="str">
        <f t="shared" si="146"/>
        <v>10000-6146.21315565899j</v>
      </c>
      <c r="AM252" s="87" t="str">
        <f t="shared" si="147"/>
        <v>426.343805119576-2385.8379339869j</v>
      </c>
      <c r="AN252" s="87" t="str">
        <f t="shared" si="148"/>
        <v>10426.3438051196-2385.8379339869j</v>
      </c>
      <c r="AO252" s="87" t="str">
        <f t="shared" si="149"/>
        <v>7814.56093709831-1309.31629267344j</v>
      </c>
      <c r="AP252" s="87" t="str">
        <f t="shared" si="150"/>
        <v>0.160069728057628+0.00765284320580669j</v>
      </c>
      <c r="AQ252" s="87" t="str">
        <f t="shared" si="133"/>
        <v>1+494.613499891552j</v>
      </c>
      <c r="AR252" s="87">
        <f t="shared" si="134"/>
        <v>-1.7873224727702551E-4</v>
      </c>
      <c r="AS252" s="87" t="str">
        <f t="shared" si="135"/>
        <v>0.027528350681318j</v>
      </c>
      <c r="AT252" s="87" t="str">
        <f t="shared" si="136"/>
        <v>-0.000178732247277026+0.027528350681318j</v>
      </c>
      <c r="AU252" s="87" t="str">
        <f t="shared" si="137"/>
        <v>5.38992870134196-0.0458928355018074j</v>
      </c>
      <c r="AW252" s="87" t="str">
        <f t="shared" si="151"/>
        <v>0.106560023991835-0.311528483454476j</v>
      </c>
      <c r="AX252" s="87">
        <f t="shared" si="138"/>
        <v>-9.649505471439884</v>
      </c>
      <c r="AY252" s="87">
        <f t="shared" si="139"/>
        <v>108.8835336623988</v>
      </c>
      <c r="AZ252" s="87" t="str">
        <f t="shared" si="140"/>
        <v>-0.000953968160507932+0.00138984674036124j</v>
      </c>
      <c r="BA252" s="87">
        <f t="shared" si="141"/>
        <v>-55.464173081545162</v>
      </c>
      <c r="BB252" s="87">
        <f t="shared" si="142"/>
        <v>-55.534930535561557</v>
      </c>
      <c r="BD252" s="87" t="str">
        <f t="shared" si="143"/>
        <v>0.000420834400725623+0.00200764552673216j</v>
      </c>
      <c r="BE252" s="87">
        <f t="shared" si="144"/>
        <v>-53.759508811629395</v>
      </c>
      <c r="BF252" s="87">
        <f t="shared" si="145"/>
        <v>-101.83869907920345</v>
      </c>
      <c r="BH252" s="87">
        <f t="shared" si="152"/>
        <v>54.759508811629395</v>
      </c>
      <c r="BI252" s="107">
        <f t="shared" si="153"/>
        <v>101.83869907920345</v>
      </c>
      <c r="BJ252" s="91"/>
      <c r="BK252" s="91"/>
      <c r="BL252" s="91"/>
      <c r="BM252" s="91"/>
      <c r="BN252" s="42"/>
      <c r="BO252" s="42"/>
      <c r="BP252" s="42"/>
    </row>
    <row r="253" spans="1:68" s="87" customFormat="1">
      <c r="A253" s="87">
        <v>189</v>
      </c>
      <c r="B253" s="87">
        <f t="shared" si="103"/>
        <v>602559.58607435855</v>
      </c>
      <c r="C253" s="87" t="str">
        <f t="shared" si="104"/>
        <v>3785993.53792262j</v>
      </c>
      <c r="D253" s="87">
        <f t="shared" si="105"/>
        <v>-6.1719121929896472</v>
      </c>
      <c r="E253" s="87" t="str">
        <f t="shared" si="106"/>
        <v>-4.20665948658069j</v>
      </c>
      <c r="F253" s="87" t="str">
        <f t="shared" si="107"/>
        <v>-6.17191219298965-4.20665948658069j</v>
      </c>
      <c r="G253" s="87">
        <f t="shared" si="108"/>
        <v>17.465445612223252</v>
      </c>
      <c r="H253" s="87">
        <f t="shared" si="109"/>
        <v>-145.72239206498625</v>
      </c>
      <c r="J253" s="87">
        <f t="shared" si="110"/>
        <v>14.187192118226601</v>
      </c>
      <c r="K253" s="87" t="str">
        <f t="shared" si="111"/>
        <v>1+189.583626411475j</v>
      </c>
      <c r="L253" s="87">
        <f t="shared" si="112"/>
        <v>-1993.1772652819482</v>
      </c>
      <c r="M253" s="87" t="str">
        <f t="shared" si="113"/>
        <v>13.6043989469835j</v>
      </c>
      <c r="N253" s="87" t="str">
        <f t="shared" si="114"/>
        <v>-1993.17726528195+13.6043989469835j</v>
      </c>
      <c r="O253" s="87" t="str">
        <f t="shared" si="115"/>
        <v>0.000147496292515953-0.0951152830785729j</v>
      </c>
      <c r="P253" s="87" t="str">
        <f t="shared" si="116"/>
        <v>0.00209255823864997-1.34941879441522j</v>
      </c>
      <c r="R253" s="87">
        <f t="shared" si="117"/>
        <v>23.645320197044338</v>
      </c>
      <c r="S253" s="87" t="str">
        <f t="shared" si="118"/>
        <v>1+0.283949515344196j</v>
      </c>
      <c r="T253" s="87" t="str">
        <f t="shared" si="119"/>
        <v>-1993.17726528195+13.6043989469835j</v>
      </c>
      <c r="U253" s="87" t="str">
        <f t="shared" si="120"/>
        <v>-0.000500715831864148-0.000145878371354399j</v>
      </c>
      <c r="V253" s="87" t="str">
        <f t="shared" si="121"/>
        <v>-0.0118395861721572-0.0034493408004981j</v>
      </c>
      <c r="X253" s="87" t="str">
        <f t="shared" si="122"/>
        <v>-0.432265720076936+0.632101676379277j</v>
      </c>
      <c r="Y253" s="87">
        <f t="shared" si="123"/>
        <v>-2.3180145990582797</v>
      </c>
      <c r="Z253" s="87">
        <f t="shared" si="124"/>
        <v>-55.633542954648888</v>
      </c>
      <c r="AB253" s="87" t="str">
        <f t="shared" si="125"/>
        <v>-0.00449765604256924-0.00131034550267682j</v>
      </c>
      <c r="AC253" s="87">
        <f t="shared" si="126"/>
        <v>-46.586463029963724</v>
      </c>
      <c r="AD253" s="87">
        <f t="shared" si="127"/>
        <v>16.242935065191887</v>
      </c>
      <c r="AF253" s="87" t="str">
        <f t="shared" si="128"/>
        <v>-0.00468467021679507+0.00290777297236152j</v>
      </c>
      <c r="AG253" s="87">
        <f t="shared" si="129"/>
        <v>-45.171081492791643</v>
      </c>
      <c r="AH253" s="87">
        <f t="shared" si="130"/>
        <v>-31.827858281125089</v>
      </c>
      <c r="AJ253" s="87" t="str">
        <f t="shared" si="131"/>
        <v>156941.966920418-9358.35504328573j</v>
      </c>
      <c r="AK253" s="87" t="str">
        <f t="shared" si="132"/>
        <v>29999.9999999996-0.00340739418413033j</v>
      </c>
      <c r="AL253" s="87" t="str">
        <f t="shared" si="146"/>
        <v>10000-5869.58799576176j</v>
      </c>
      <c r="AM253" s="87" t="str">
        <f t="shared" si="147"/>
        <v>404.58863195863-2296.97315437472j</v>
      </c>
      <c r="AN253" s="87" t="str">
        <f t="shared" si="148"/>
        <v>10404.5886319586-2296.97315437472j</v>
      </c>
      <c r="AO253" s="87" t="str">
        <f t="shared" si="149"/>
        <v>7797.05861716972-1262.22221079761j</v>
      </c>
      <c r="AP253" s="87" t="str">
        <f t="shared" si="150"/>
        <v>0.160076454682546+0.00801344641718051j</v>
      </c>
      <c r="AQ253" s="87" t="str">
        <f t="shared" si="133"/>
        <v>1+517.923915987814j</v>
      </c>
      <c r="AR253" s="87">
        <f t="shared" si="134"/>
        <v>-1.9598565990654385E-4</v>
      </c>
      <c r="AS253" s="87" t="str">
        <f t="shared" si="135"/>
        <v>0.0288257218791645j</v>
      </c>
      <c r="AT253" s="87" t="str">
        <f t="shared" si="136"/>
        <v>-0.000195985659906544+0.0288257218791645j</v>
      </c>
      <c r="AU253" s="87" t="str">
        <f t="shared" si="137"/>
        <v>5.38990675348059-0.0470532685218201j</v>
      </c>
      <c r="AW253" s="87" t="str">
        <f t="shared" si="151"/>
        <v>0.0967398168164164-0.301214434124743j</v>
      </c>
      <c r="AX253" s="87">
        <f t="shared" si="138"/>
        <v>-9.9961483228797867</v>
      </c>
      <c r="AY253" s="87">
        <f t="shared" si="139"/>
        <v>107.80524927666926</v>
      </c>
      <c r="AZ253" s="87" t="str">
        <f t="shared" si="140"/>
        <v>-0.000829797400758098+0.00122799633585505j</v>
      </c>
      <c r="BA253" s="87">
        <f t="shared" si="141"/>
        <v>-56.582611352843529</v>
      </c>
      <c r="BB253" s="87">
        <f t="shared" si="142"/>
        <v>-55.951815658138727</v>
      </c>
      <c r="BD253" s="87" t="str">
        <f t="shared" si="143"/>
        <v>0.000422669051815015+0.00169238771310294j</v>
      </c>
      <c r="BE253" s="87">
        <f t="shared" si="144"/>
        <v>-55.167229815671462</v>
      </c>
      <c r="BF253" s="87">
        <f t="shared" si="145"/>
        <v>-104.02260900445569</v>
      </c>
      <c r="BH253" s="87">
        <f t="shared" si="152"/>
        <v>56.167229815671462</v>
      </c>
      <c r="BI253" s="107">
        <f t="shared" si="153"/>
        <v>104.02260900445569</v>
      </c>
      <c r="BJ253" s="91"/>
      <c r="BK253" s="91"/>
      <c r="BL253" s="91"/>
      <c r="BM253" s="91"/>
      <c r="BN253" s="42"/>
      <c r="BO253" s="42"/>
      <c r="BP253" s="42"/>
    </row>
    <row r="254" spans="1:68" s="87" customFormat="1">
      <c r="A254" s="87">
        <v>190</v>
      </c>
      <c r="B254" s="87">
        <f t="shared" si="103"/>
        <v>630957.3444801938</v>
      </c>
      <c r="C254" s="87" t="str">
        <f t="shared" si="104"/>
        <v>3964421.916295j</v>
      </c>
      <c r="D254" s="87">
        <f t="shared" si="105"/>
        <v>-6.8638453442666068</v>
      </c>
      <c r="E254" s="87" t="str">
        <f t="shared" si="106"/>
        <v>-4.40491324032778j</v>
      </c>
      <c r="F254" s="87" t="str">
        <f t="shared" si="107"/>
        <v>-6.86384534426661-4.40491324032778j</v>
      </c>
      <c r="G254" s="87">
        <f t="shared" si="108"/>
        <v>18.229237321147888</v>
      </c>
      <c r="H254" s="87">
        <f t="shared" si="109"/>
        <v>-147.30944207709587</v>
      </c>
      <c r="J254" s="87">
        <f t="shared" si="110"/>
        <v>14.187192118226601</v>
      </c>
      <c r="K254" s="87" t="str">
        <f t="shared" si="111"/>
        <v>1+198.518427458472j</v>
      </c>
      <c r="L254" s="87">
        <f t="shared" si="112"/>
        <v>-2185.5718906261018</v>
      </c>
      <c r="M254" s="87" t="str">
        <f t="shared" si="113"/>
        <v>14.24555451646j</v>
      </c>
      <c r="N254" s="87" t="str">
        <f t="shared" si="114"/>
        <v>-2185.5718906261+14.24555451646j</v>
      </c>
      <c r="O254" s="87" t="str">
        <f t="shared" si="115"/>
        <v>0.000134486696805205-0.0908304652307877j</v>
      </c>
      <c r="P254" s="87" t="str">
        <f t="shared" si="116"/>
        <v>0.00190798860492113-1.28862926041709j</v>
      </c>
      <c r="R254" s="87">
        <f t="shared" si="117"/>
        <v>23.645320197044338</v>
      </c>
      <c r="S254" s="87" t="str">
        <f t="shared" si="118"/>
        <v>1+0.297331643722125j</v>
      </c>
      <c r="T254" s="87" t="str">
        <f t="shared" si="119"/>
        <v>-2185.5718906261+14.24555451646j</v>
      </c>
      <c r="U254" s="87" t="str">
        <f t="shared" si="120"/>
        <v>-0.000456640020341786-0.000139019327311746j</v>
      </c>
      <c r="V254" s="87" t="str">
        <f t="shared" si="121"/>
        <v>-0.0107973994957664-0.00328715650786395j</v>
      </c>
      <c r="X254" s="87" t="str">
        <f t="shared" si="122"/>
        <v>-0.432260840191403+0.671370609497407j</v>
      </c>
      <c r="Y254" s="87">
        <f t="shared" si="123"/>
        <v>-1.9545991354645089</v>
      </c>
      <c r="Z254" s="87">
        <f t="shared" si="124"/>
        <v>-57.224608046166438</v>
      </c>
      <c r="AB254" s="87" t="str">
        <f t="shared" si="125"/>
        <v>-0.00410174717089115-0.00124873446719222j</v>
      </c>
      <c r="AC254" s="87">
        <f t="shared" si="126"/>
        <v>-47.355678406248352</v>
      </c>
      <c r="AD254" s="87">
        <f t="shared" si="127"/>
        <v>16.932327976072742</v>
      </c>
      <c r="AF254" s="87" t="str">
        <f t="shared" si="128"/>
        <v>-0.00409678487126893+0.00264509936097704j</v>
      </c>
      <c r="AG254" s="87">
        <f t="shared" si="129"/>
        <v>-46.237845535456337</v>
      </c>
      <c r="AH254" s="87">
        <f t="shared" si="130"/>
        <v>-32.848409623220419</v>
      </c>
      <c r="AJ254" s="87" t="str">
        <f t="shared" si="131"/>
        <v>156888.337979164-9796.05215655718j</v>
      </c>
      <c r="AK254" s="87" t="str">
        <f t="shared" si="132"/>
        <v>29999.9999999996-0.00356797972466545j</v>
      </c>
      <c r="AL254" s="87" t="str">
        <f t="shared" si="146"/>
        <v>10000-5605.41301895291j</v>
      </c>
      <c r="AM254" s="87" t="str">
        <f t="shared" si="147"/>
        <v>383.151199131686-2211.01635415198j</v>
      </c>
      <c r="AN254" s="87" t="str">
        <f t="shared" si="148"/>
        <v>10383.1511991317-2211.01635415198j</v>
      </c>
      <c r="AO254" s="87" t="str">
        <f t="shared" si="149"/>
        <v>7780.08554000412-1216.5619098009j</v>
      </c>
      <c r="AP254" s="87" t="str">
        <f t="shared" si="150"/>
        <v>0.160083830156266+0.00839103482745506j</v>
      </c>
      <c r="AQ254" s="87" t="str">
        <f t="shared" si="133"/>
        <v>1+542.332918149156j</v>
      </c>
      <c r="AR254" s="87">
        <f t="shared" si="134"/>
        <v>-2.1490365066387338E-4</v>
      </c>
      <c r="AS254" s="87" t="str">
        <f t="shared" si="135"/>
        <v>0.0301842362978485j</v>
      </c>
      <c r="AT254" s="87" t="str">
        <f t="shared" si="136"/>
        <v>-0.000214903650663873+0.0301842362978485j</v>
      </c>
      <c r="AU254" s="87" t="str">
        <f t="shared" si="137"/>
        <v>5.38988268897597-0.048313479000126j</v>
      </c>
      <c r="AW254" s="87" t="str">
        <f t="shared" si="151"/>
        <v>0.0875600749133788-0.290938897425401j</v>
      </c>
      <c r="AX254" s="87">
        <f t="shared" si="138"/>
        <v>-10.34740857545782</v>
      </c>
      <c r="AY254" s="87">
        <f t="shared" si="139"/>
        <v>106.74953149347573</v>
      </c>
      <c r="AZ254" s="87" t="str">
        <f t="shared" si="140"/>
        <v>-0.000722454718620969+0.00108401851592256j</v>
      </c>
      <c r="BA254" s="87">
        <f t="shared" si="141"/>
        <v>-57.703086981706171</v>
      </c>
      <c r="BB254" s="87">
        <f t="shared" si="142"/>
        <v>-56.318140530451515</v>
      </c>
      <c r="BD254" s="87" t="str">
        <f t="shared" si="143"/>
        <v>0.000410847501430987+0.00142351917163653j</v>
      </c>
      <c r="BE254" s="87">
        <f t="shared" si="144"/>
        <v>-56.585254110914143</v>
      </c>
      <c r="BF254" s="87">
        <f t="shared" si="145"/>
        <v>-106.09887812974459</v>
      </c>
      <c r="BH254" s="87">
        <f t="shared" si="152"/>
        <v>57.585254110914143</v>
      </c>
      <c r="BI254" s="107">
        <f t="shared" si="153"/>
        <v>106.09887812974459</v>
      </c>
      <c r="BJ254" s="91"/>
      <c r="BK254" s="91"/>
      <c r="BL254" s="91"/>
      <c r="BM254" s="91"/>
      <c r="BN254" s="42"/>
      <c r="BO254" s="42"/>
      <c r="BP254" s="42"/>
    </row>
    <row r="255" spans="1:68" s="87" customFormat="1">
      <c r="A255" s="87">
        <v>191</v>
      </c>
      <c r="B255" s="87">
        <f t="shared" si="103"/>
        <v>660693.44800759654</v>
      </c>
      <c r="C255" s="87" t="str">
        <f t="shared" si="104"/>
        <v>4151259.36507115j</v>
      </c>
      <c r="D255" s="87">
        <f t="shared" si="105"/>
        <v>-7.6225349578304389</v>
      </c>
      <c r="E255" s="87" t="str">
        <f t="shared" si="106"/>
        <v>-4.61251040563461j</v>
      </c>
      <c r="F255" s="87" t="str">
        <f t="shared" si="107"/>
        <v>-7.62253495783044-4.61251040563461j</v>
      </c>
      <c r="G255" s="87">
        <f t="shared" si="108"/>
        <v>18.997017467191483</v>
      </c>
      <c r="H255" s="87">
        <f t="shared" si="109"/>
        <v>-148.82123764560561</v>
      </c>
      <c r="J255" s="87">
        <f t="shared" si="110"/>
        <v>14.187192118226601</v>
      </c>
      <c r="K255" s="87" t="str">
        <f t="shared" si="111"/>
        <v>1+207.874312705938j</v>
      </c>
      <c r="L255" s="87">
        <f t="shared" si="112"/>
        <v>-2396.5284023711029</v>
      </c>
      <c r="M255" s="87" t="str">
        <f t="shared" si="113"/>
        <v>14.9169268170007j</v>
      </c>
      <c r="N255" s="87" t="str">
        <f t="shared" si="114"/>
        <v>-2396.5284023711+14.9169268170007j</v>
      </c>
      <c r="O255" s="87" t="str">
        <f t="shared" si="115"/>
        <v>0.000122627111233798-0.08673900266762j</v>
      </c>
      <c r="P255" s="87" t="str">
        <f t="shared" si="116"/>
        <v>0.00173973438597704-1.23058289498889j</v>
      </c>
      <c r="R255" s="87">
        <f t="shared" si="117"/>
        <v>23.645320197044338</v>
      </c>
      <c r="S255" s="87" t="str">
        <f t="shared" si="118"/>
        <v>1+0.311344452380336j</v>
      </c>
      <c r="T255" s="87" t="str">
        <f t="shared" si="119"/>
        <v>-2396.5284023711+14.9169268170007j</v>
      </c>
      <c r="U255" s="87" t="str">
        <f t="shared" si="120"/>
        <v>-0.000416445473104697-0.00013250689568783j</v>
      </c>
      <c r="V255" s="87" t="str">
        <f t="shared" si="121"/>
        <v>-0.00984698655617018-0.00313316797685509j</v>
      </c>
      <c r="X255" s="87" t="str">
        <f t="shared" si="122"/>
        <v>-0.432256385268361+0.712062840112312j</v>
      </c>
      <c r="Y255" s="87">
        <f t="shared" si="123"/>
        <v>-1.5871621171850256</v>
      </c>
      <c r="Z255" s="87">
        <f t="shared" si="124"/>
        <v>-58.740235892869578</v>
      </c>
      <c r="AB255" s="87" t="str">
        <f t="shared" si="125"/>
        <v>-0.00374070157026337-0.00119023686120265j</v>
      </c>
      <c r="AC255" s="87">
        <f t="shared" si="126"/>
        <v>-48.122111139643167</v>
      </c>
      <c r="AD255" s="87">
        <f t="shared" si="127"/>
        <v>17.650313855644782</v>
      </c>
      <c r="AF255" s="87" t="str">
        <f t="shared" si="128"/>
        <v>-0.00358259416824549+0.00239684829894787j</v>
      </c>
      <c r="AG255" s="87">
        <f t="shared" si="129"/>
        <v>-47.309574986517482</v>
      </c>
      <c r="AH255" s="87">
        <f t="shared" si="130"/>
        <v>-33.783547856421904</v>
      </c>
      <c r="AJ255" s="87" t="str">
        <f t="shared" si="131"/>
        <v>156829.577124567-10253.8839494465j</v>
      </c>
      <c r="AK255" s="87" t="str">
        <f t="shared" si="132"/>
        <v>29999.9999999995-0.00373613342856399j</v>
      </c>
      <c r="AL255" s="87" t="str">
        <f t="shared" si="146"/>
        <v>10000-5353.12787468805j</v>
      </c>
      <c r="AM255" s="87" t="str">
        <f t="shared" si="147"/>
        <v>362.11324467801-2127.83396054709j</v>
      </c>
      <c r="AN255" s="87" t="str">
        <f t="shared" si="148"/>
        <v>10362.113244678-2127.83396054709j</v>
      </c>
      <c r="AO255" s="87" t="str">
        <f t="shared" si="149"/>
        <v>7763.6615610372-1172.26879350883j</v>
      </c>
      <c r="AP255" s="87" t="str">
        <f t="shared" si="150"/>
        <v>0.160091917053509+0.00878640751623565j</v>
      </c>
      <c r="AQ255" s="87" t="str">
        <f t="shared" si="133"/>
        <v>1+567.892281141733j</v>
      </c>
      <c r="AR255" s="87">
        <f t="shared" si="134"/>
        <v>-2.3564681504412355E-4</v>
      </c>
      <c r="AS255" s="87" t="str">
        <f t="shared" si="135"/>
        <v>0.0316067755285914j</v>
      </c>
      <c r="AT255" s="87" t="str">
        <f t="shared" si="136"/>
        <v>-0.000235646815044124+0.0316067755285914j</v>
      </c>
      <c r="AU255" s="87" t="str">
        <f t="shared" si="137"/>
        <v>5.38985630360316-0.049676135740872j</v>
      </c>
      <c r="AW255" s="87" t="str">
        <f t="shared" si="151"/>
        <v>0.0789960856742377-0.280738433364062j</v>
      </c>
      <c r="AX255" s="87">
        <f t="shared" si="138"/>
        <v>-10.703029618721613</v>
      </c>
      <c r="AY255" s="87">
        <f t="shared" si="139"/>
        <v>105.71590037297696</v>
      </c>
      <c r="AZ255" s="87" t="str">
        <f t="shared" si="140"/>
        <v>-0.000629646013472472+0.000956134645458024j</v>
      </c>
      <c r="BA255" s="87">
        <f t="shared" si="141"/>
        <v>-58.825140758364782</v>
      </c>
      <c r="BB255" s="87">
        <f t="shared" si="142"/>
        <v>-56.633785771378214</v>
      </c>
      <c r="BD255" s="87" t="str">
        <f t="shared" si="143"/>
        <v>0.000389876520607195+0.0011951135077443j</v>
      </c>
      <c r="BE255" s="87">
        <f t="shared" si="144"/>
        <v>-58.012604605239105</v>
      </c>
      <c r="BF255" s="87">
        <f t="shared" si="145"/>
        <v>-108.06764748344487</v>
      </c>
      <c r="BH255" s="87">
        <f t="shared" si="152"/>
        <v>59.012604605239105</v>
      </c>
      <c r="BI255" s="107">
        <f t="shared" si="153"/>
        <v>108.06764748344487</v>
      </c>
      <c r="BJ255" s="91"/>
      <c r="BK255" s="91"/>
      <c r="BL255" s="91"/>
      <c r="BM255" s="91"/>
      <c r="BN255" s="42"/>
      <c r="BO255" s="42"/>
      <c r="BP255" s="42"/>
    </row>
    <row r="256" spans="1:68" s="87" customFormat="1">
      <c r="A256" s="87">
        <v>192</v>
      </c>
      <c r="B256" s="87">
        <f t="shared" ref="B256:B264" si="154">Fstart*10^(Step*A256)</f>
        <v>691830.97091893689</v>
      </c>
      <c r="C256" s="87" t="str">
        <f t="shared" ref="C256:C264" si="155">COMPLEX(0,2*PI()*B256,"j")</f>
        <v>4346902.19152965j</v>
      </c>
      <c r="D256" s="87">
        <f t="shared" ref="D256:D264" si="156">(IMPRODUCT(C256,C256))/wn^2 + 1</f>
        <v>-8.4544215767434903</v>
      </c>
      <c r="E256" s="87" t="str">
        <f t="shared" ref="E256:E264" si="157">IMDIV(C256,wn*Qn)</f>
        <v>-4.82989132392183j</v>
      </c>
      <c r="F256" s="87" t="str">
        <f t="shared" ref="F256:F264" si="158">IMSUM(D256,E256)</f>
        <v>-8.45442157674349-4.82989132392183j</v>
      </c>
      <c r="G256" s="87">
        <f t="shared" ref="G256:G264" si="159">20*LOG(IMABS(F256),10)</f>
        <v>19.768316749918881</v>
      </c>
      <c r="H256" s="87">
        <f t="shared" ref="H256:H264" si="160">(IMARGUMENT(F256)*(180/PI()))</f>
        <v>-150.26128400915618</v>
      </c>
      <c r="J256" s="87">
        <f t="shared" ref="J256:J264" si="161">Vin/(Rout+DCR/1000)</f>
        <v>14.187192118226601</v>
      </c>
      <c r="K256" s="87" t="str">
        <f t="shared" ref="K256:K264" si="162">IMSUM(1,IMPRODUCT(C256,ncap*(Cap*10^-6)*(Rout+(ESR/(ncap*1000)))))</f>
        <v>1+217.671127240847j</v>
      </c>
      <c r="L256" s="87">
        <f t="shared" ref="L256:L264" si="163">(IMPRODUCT(C256,C256))/Gdo^2 + 1</f>
        <v>-2627.837617833924</v>
      </c>
      <c r="M256" s="87" t="str">
        <f t="shared" ref="M256:M264" si="164">IMDIV(C256,Q*Gdo)</f>
        <v>15.6199399192675j</v>
      </c>
      <c r="N256" s="87" t="str">
        <f t="shared" ref="N256:N264" si="165">IMSUM(L256,M256)</f>
        <v>-2627.83761783392+15.6199399192675j</v>
      </c>
      <c r="O256" s="87" t="str">
        <f t="shared" ref="O256:O264" si="166">IMDIV(K256,N256)</f>
        <v>0.000111815453671594-0.0828321275306195j</v>
      </c>
      <c r="P256" s="87" t="str">
        <f t="shared" ref="P256:P264" si="167">IMPRODUCT(J256,O256)</f>
        <v>0.00158634732302557-1.17515530683835j</v>
      </c>
      <c r="R256" s="87">
        <f t="shared" ref="R256:R264" si="168">Vin/(1+((DCR*10^-3)/Rout))</f>
        <v>23.645320197044338</v>
      </c>
      <c r="S256" s="87" t="str">
        <f t="shared" ref="S256:S264" si="169">IMSUM(1,IMPRODUCT(C256,ncap*(Cap*10^-6)*(ESR/(ncap*1000))))</f>
        <v>1+0.326017664364724j</v>
      </c>
      <c r="T256" s="87" t="str">
        <f t="shared" ref="T256:T264" si="170">IMSUM(L256,M256)</f>
        <v>-2627.83761783392+15.6199399192675j</v>
      </c>
      <c r="U256" s="87" t="str">
        <f t="shared" ref="U256:U264" si="171">IMDIV(S256,T256)</f>
        <v>-0.000379790164127704-0.000126320576909904j</v>
      </c>
      <c r="V256" s="87" t="str">
        <f t="shared" ref="V256:V264" si="172">IMPRODUCT(R256,U256)</f>
        <v>-0.00898026003848758-0.00298689048851005j</v>
      </c>
      <c r="X256" s="87" t="str">
        <f t="shared" ref="X256:X264" si="173">IMPRODUCT(Fm,Dmax,P256,F256)</f>
        <v>-0.432252318659297+0.754264781278674j</v>
      </c>
      <c r="Y256" s="87">
        <f t="shared" ref="Y256:Y264" si="174">20*LOG(IMABS(X256),10)</f>
        <v>-1.2161757606705916</v>
      </c>
      <c r="Z256" s="87">
        <f t="shared" ref="Z256:Z264" si="175">IF((IMARGUMENT(X256)*(180/PI()))&lt;0,(IMARGUMENT(X256)*(180/PI()))+180,(IMARGUMENT(X256)*(180/PI()))-180)</f>
        <v>-60.183940231092166</v>
      </c>
      <c r="AB256" s="87" t="str">
        <f t="shared" ref="AB256:AB264" si="176">IMPRODUCT(Fm,V256)</f>
        <v>-0.00341144700825194-0.00113466854827512j</v>
      </c>
      <c r="AC256" s="87">
        <f t="shared" ref="AC256:AC264" si="177">20*LOG(IMABS(AB256),10)</f>
        <v>-48.885545495996809</v>
      </c>
      <c r="AD256" s="87">
        <f t="shared" ref="AD256:AD264" si="178">IF((IMARGUMENT(AB256)*(180/PI()))&lt;0,(IMARGUMENT(AB256)*(180/PI()))+180,(IMARGUMENT(AB256)*(180/PI()))-180)</f>
        <v>18.397446993537329</v>
      </c>
      <c r="AF256" s="87" t="str">
        <f t="shared" ref="AF256:AF264" si="179">IMDIV(AB256,IMSUM(1,X256))</f>
        <v>-0.00313343384149432+0.00216428931938414j</v>
      </c>
      <c r="AG256" s="87">
        <f t="shared" ref="AG256:AG264" si="180">20*LOG(IMABS(AF256),10)</f>
        <v>-48.385554519612803</v>
      </c>
      <c r="AH256" s="87">
        <f t="shared" ref="AH256:AH264" si="181">IF((IMARGUMENT(AF256)*(180/PI()))&lt;0,(IMARGUMENT(AF256)*(180/PI()))+180,(IMARGUMENT(AF256)*(180/PI()))-180)</f>
        <v>-34.633166476231139</v>
      </c>
      <c r="AJ256" s="87" t="str">
        <f t="shared" ref="AJ256:AJ264" si="182">IMDIV(_Rfb1,IMSUM(1,IMPRODUCT(C256,_Cfb1*_Rfb1)))</f>
        <v>156765.197699254-10732.7269575929j</v>
      </c>
      <c r="AK256" s="87" t="str">
        <f t="shared" ref="AK256:AK264" si="183">IMDIV(_Rfb2,IMSUM(1,IMPRODUCT(C256,_Cfb2*_Rfb2)))</f>
        <v>29999.9999999995-0.00391221197237663j</v>
      </c>
      <c r="AL256" s="87" t="str">
        <f t="shared" si="146"/>
        <v>10000-5112.19743235179j</v>
      </c>
      <c r="AM256" s="87" t="str">
        <f t="shared" si="147"/>
        <v>341.55018006797-2047.3084112917j</v>
      </c>
      <c r="AN256" s="87" t="str">
        <f t="shared" si="148"/>
        <v>10341.550180068-2047.3084112917j</v>
      </c>
      <c r="AO256" s="87" t="str">
        <f t="shared" si="149"/>
        <v>7747.80580937778-1129.28517322925j</v>
      </c>
      <c r="AP256" s="87" t="str">
        <f t="shared" si="150"/>
        <v>0.160100783981024+0.00920040101404818j</v>
      </c>
      <c r="AQ256" s="87" t="str">
        <f t="shared" ref="AQ256:AQ264" si="184">IMSUM(1,IMPRODUCT(C256,_res1*_Cap1))</f>
        <v>1+594.656219801256j</v>
      </c>
      <c r="AR256" s="87">
        <f t="shared" ref="AR256:AR264" si="185">(IMPRODUCT(C256,C256))*_res1*_Cap1*_cap2 + (1/Roerr)</f>
        <v>-2.5839124250608218E-4</v>
      </c>
      <c r="AS256" s="87" t="str">
        <f t="shared" ref="AS256:AS264" si="186">IMPRODUCT(C256,(_Cap1+_cap2+(_Cap1*_res1/Roerr)))</f>
        <v>0.0330963569678246j</v>
      </c>
      <c r="AT256" s="87" t="str">
        <f t="shared" ref="AT256:AT264" si="187">IMSUM(AR256,AS256)</f>
        <v>-0.000258391242506082+0.0330963569678246j</v>
      </c>
      <c r="AU256" s="87" t="str">
        <f t="shared" ref="AU256:AU264" si="188">IMPRODUCT(EA_BW,IMDIV(AQ256,AT256))</f>
        <v>5.38982737344756-0.0511441242177801j</v>
      </c>
      <c r="AW256" s="87" t="str">
        <f t="shared" si="151"/>
        <v>0.0710215044678991-0.270645479235293j</v>
      </c>
      <c r="AX256" s="87">
        <f t="shared" ref="AX256:AX264" si="189">20*LOG(IMABS(AW256),10)</f>
        <v>-11.062769017038343</v>
      </c>
      <c r="AY256" s="87">
        <f t="shared" ref="AY256:AY264" si="190">IF((IMARGUMENT(AW256)*(180/PI()))&lt;0,(IMARGUMENT(AW256)*(180/PI()))+180,(IMARGUMENT(AW256)*(180/PI()))-180)</f>
        <v>104.70376168255835</v>
      </c>
      <c r="AZ256" s="87" t="str">
        <f t="shared" ref="AZ256:AZ264" si="191">IMPRODUCT(AW256,Fm,V256)</f>
        <v>-0.000549379011959701+0.000842706843063247j</v>
      </c>
      <c r="BA256" s="87">
        <f t="shared" ref="BA256:BA264" si="192">20*LOG(IMABS(AZ256),10)</f>
        <v>-59.948314513035143</v>
      </c>
      <c r="BB256" s="87">
        <f t="shared" ref="BB256:BB264" si="193">IF((IMARGUMENT(AZ256)*(180/PI()))&lt;0,(IMARGUMENT(AZ256)*(180/PI()))+180,(IMARGUMENT(AZ256)*(180/PI()))-180)</f>
        <v>-56.898791323904277</v>
      </c>
      <c r="BD256" s="87" t="str">
        <f t="shared" ref="BD256:BD264" si="194">IMDIV(AZ256,IMSUM(1,X256))</f>
        <v>0.00036321393447499+0.00100176078724978j</v>
      </c>
      <c r="BE256" s="87">
        <f t="shared" ref="BE256:BE264" si="195">20*LOG(IMABS(BD256),10)</f>
        <v>-59.448323536651166</v>
      </c>
      <c r="BF256" s="87">
        <f t="shared" ref="BF256:BF264" si="196">IF((IMARGUMENT(BD256)*(180/PI()))&lt;0,(IMARGUMENT(BD256)*(180/PI()))+180,(IMARGUMENT(BD256)*(180/PI()))-180)</f>
        <v>-109.92940479367273</v>
      </c>
      <c r="BH256" s="87">
        <f t="shared" si="152"/>
        <v>60.448323536651166</v>
      </c>
      <c r="BI256" s="107">
        <f t="shared" si="153"/>
        <v>109.92940479367273</v>
      </c>
      <c r="BJ256" s="91"/>
      <c r="BK256" s="91"/>
      <c r="BL256" s="91"/>
      <c r="BM256" s="91"/>
      <c r="BN256" s="42"/>
      <c r="BO256" s="42"/>
      <c r="BP256" s="42"/>
    </row>
    <row r="257" spans="1:68" s="87" customFormat="1">
      <c r="A257" s="87">
        <v>193</v>
      </c>
      <c r="B257" s="87">
        <f t="shared" si="154"/>
        <v>724435.96007499041</v>
      </c>
      <c r="C257" s="87" t="str">
        <f t="shared" si="155"/>
        <v>4551765.38033572j</v>
      </c>
      <c r="D257" s="87">
        <f t="shared" si="156"/>
        <v>-9.3665671160449246</v>
      </c>
      <c r="E257" s="87" t="str">
        <f t="shared" si="157"/>
        <v>-5.05751708926191j</v>
      </c>
      <c r="F257" s="87" t="str">
        <f t="shared" si="158"/>
        <v>-9.36656711604492-5.05751708926191j</v>
      </c>
      <c r="G257" s="87">
        <f t="shared" si="159"/>
        <v>20.542722971117588</v>
      </c>
      <c r="H257" s="87">
        <f t="shared" si="160"/>
        <v>-151.6329862276481</v>
      </c>
      <c r="J257" s="87">
        <f t="shared" si="161"/>
        <v>14.187192118226601</v>
      </c>
      <c r="K257" s="87" t="str">
        <f t="shared" si="162"/>
        <v>1+227.929651420311j</v>
      </c>
      <c r="L257" s="87">
        <f t="shared" si="163"/>
        <v>-2881.4631291558931</v>
      </c>
      <c r="M257" s="87" t="str">
        <f t="shared" si="164"/>
        <v>16.3560850083049j</v>
      </c>
      <c r="N257" s="87" t="str">
        <f t="shared" si="165"/>
        <v>-2881.46312915589+16.3560850083049j</v>
      </c>
      <c r="O257" s="87" t="str">
        <f t="shared" si="166"/>
        <v>0.000101958774684585-0.0791014750345583j</v>
      </c>
      <c r="P257" s="87" t="str">
        <f t="shared" si="167"/>
        <v>0.00144650872458919-1.12222782315038j</v>
      </c>
      <c r="R257" s="87">
        <f t="shared" si="168"/>
        <v>23.645320197044338</v>
      </c>
      <c r="S257" s="87" t="str">
        <f t="shared" si="169"/>
        <v>1+0.341382403525179j</v>
      </c>
      <c r="T257" s="87" t="str">
        <f t="shared" si="170"/>
        <v>-2881.46312915589+16.3560850083049j</v>
      </c>
      <c r="U257" s="87" t="str">
        <f t="shared" si="171"/>
        <v>-0.000346362248979392-0.000120441427968165j</v>
      </c>
      <c r="V257" s="87" t="str">
        <f t="shared" si="172"/>
        <v>-0.00818984628128612-0.00284787612929651j</v>
      </c>
      <c r="X257" s="87" t="str">
        <f t="shared" si="173"/>
        <v>-0.432248606815042+0.798066035511003j</v>
      </c>
      <c r="Y257" s="87">
        <f t="shared" si="174"/>
        <v>-0.84205492323037856</v>
      </c>
      <c r="Z257" s="87">
        <f t="shared" si="175"/>
        <v>-61.559134201045993</v>
      </c>
      <c r="AB257" s="87" t="str">
        <f t="shared" si="176"/>
        <v>-0.00311118235714723-0.00108185937372888j</v>
      </c>
      <c r="AC257" s="87">
        <f t="shared" si="177"/>
        <v>-49.645752506689064</v>
      </c>
      <c r="AD257" s="87">
        <f t="shared" si="178"/>
        <v>19.174227004287502</v>
      </c>
      <c r="AF257" s="87" t="str">
        <f t="shared" si="179"/>
        <v>-0.00274148603996675+0.001948084205292j</v>
      </c>
      <c r="AG257" s="87">
        <f t="shared" si="180"/>
        <v>-49.465075300715327</v>
      </c>
      <c r="AH257" s="87">
        <f t="shared" si="181"/>
        <v>-35.397382143614237</v>
      </c>
      <c r="AJ257" s="87" t="str">
        <f t="shared" si="182"/>
        <v>156694.667787225-11233.4884848443j</v>
      </c>
      <c r="AK257" s="87" t="str">
        <f t="shared" si="183"/>
        <v>29999.9999999994-0.00409658884230208j</v>
      </c>
      <c r="AL257" s="87" t="str">
        <f t="shared" ref="AL257:AL264" si="197">IMDIV(IMSUM(1,IMPRODUCT(C257,10000,0.000000000045)),IMPRODUCT(C257,0.000000000045))</f>
        <v>10000-4882.11064617378j</v>
      </c>
      <c r="AM257" s="87" t="str">
        <f t="shared" ref="AM257:AM264" si="198">IMDIV(AL257,IMSUM(1,IMPRODUCT(C257,AL257,0.0000000001)))</f>
        <v>321.530132298201-1969.33666689418j</v>
      </c>
      <c r="AN257" s="87" t="str">
        <f t="shared" ref="AN257:AN264" si="199">IMSUM(10000,AM257)</f>
        <v>10321.5301322982-1969.33666689418j</v>
      </c>
      <c r="AO257" s="87" t="str">
        <f t="shared" ref="AO257:AO264" si="200">IMDIV(IMPRODUCT(AN257,AK257),IMSUM(AN257,AK257))</f>
        <v>7732.53579662942-1087.56151357882j</v>
      </c>
      <c r="AP257" s="87" t="str">
        <f t="shared" ref="AP257:AP264" si="201">IMDIV(AK257,IMSUM(AJ257,AK257))</f>
        <v>0.160110506158529+0.0096338910364722j</v>
      </c>
      <c r="AQ257" s="87" t="str">
        <f t="shared" si="184"/>
        <v>1+622.681504029926j</v>
      </c>
      <c r="AR257" s="87">
        <f t="shared" si="185"/>
        <v>-2.8333001130187994E-4</v>
      </c>
      <c r="AS257" s="87" t="str">
        <f t="shared" si="186"/>
        <v>0.0346561402174925j</v>
      </c>
      <c r="AT257" s="87" t="str">
        <f t="shared" si="187"/>
        <v>-0.00028333001130188+0.0346561402174925j</v>
      </c>
      <c r="AU257" s="87" t="str">
        <f t="shared" si="188"/>
        <v>5.38979565300618-0.052720552600917j</v>
      </c>
      <c r="AW257" s="87" t="str">
        <f t="shared" ref="AW257:AW264" si="202">IMDIV(IMPRODUCT(AP257,AU257),IMPRODUCT(IMSUM(1,IMPRODUCT(C257,1/1500000)),IMSUM(1,IMPRODUCT(C257,1/35000000))))</f>
        <v>0.0636088685873069-0.26068847806078j</v>
      </c>
      <c r="AX257" s="87">
        <f t="shared" si="189"/>
        <v>-11.426399342442153</v>
      </c>
      <c r="AY257" s="87">
        <f t="shared" si="190"/>
        <v>103.71241939012175</v>
      </c>
      <c r="AZ257" s="87" t="str">
        <f t="shared" si="191"/>
        <v>-0.000479927063320097+0.000742233542920794j</v>
      </c>
      <c r="BA257" s="87">
        <f t="shared" si="192"/>
        <v>-61.072151849131217</v>
      </c>
      <c r="BB257" s="87">
        <f t="shared" si="193"/>
        <v>-57.113353605590646</v>
      </c>
      <c r="BD257" s="87" t="str">
        <f t="shared" si="194"/>
        <v>0.000333460281361633+0.000838589255595235j</v>
      </c>
      <c r="BE257" s="87">
        <f t="shared" si="195"/>
        <v>-60.89147464315748</v>
      </c>
      <c r="BF257" s="87">
        <f t="shared" si="196"/>
        <v>-111.68496275349236</v>
      </c>
      <c r="BH257" s="87">
        <f t="shared" ref="BH257:BH264" si="203">1-BE257</f>
        <v>61.89147464315748</v>
      </c>
      <c r="BI257" s="107">
        <f t="shared" ref="BI257:BI264" si="204">+-1*BF257</f>
        <v>111.68496275349236</v>
      </c>
      <c r="BJ257" s="91"/>
      <c r="BK257" s="91"/>
      <c r="BL257" s="91"/>
      <c r="BM257" s="91"/>
      <c r="BN257" s="42"/>
      <c r="BO257" s="42"/>
      <c r="BP257" s="42"/>
    </row>
    <row r="258" spans="1:68" s="87" customFormat="1">
      <c r="A258" s="87">
        <v>194</v>
      </c>
      <c r="B258" s="87">
        <f t="shared" si="154"/>
        <v>758577.57502918388</v>
      </c>
      <c r="C258" s="87" t="str">
        <f t="shared" si="155"/>
        <v>4766283.47377929j</v>
      </c>
      <c r="D258" s="87">
        <f t="shared" si="156"/>
        <v>-10.366714811598188</v>
      </c>
      <c r="E258" s="87" t="str">
        <f t="shared" si="157"/>
        <v>-5.29587052642143j</v>
      </c>
      <c r="F258" s="87" t="str">
        <f t="shared" si="158"/>
        <v>-10.3667148115982-5.29587052642143j</v>
      </c>
      <c r="G258" s="87">
        <f t="shared" si="159"/>
        <v>21.319874355042188</v>
      </c>
      <c r="H258" s="87">
        <f t="shared" si="160"/>
        <v>-152.93963267369622</v>
      </c>
      <c r="J258" s="87">
        <f t="shared" si="161"/>
        <v>14.187192118226601</v>
      </c>
      <c r="K258" s="87" t="str">
        <f t="shared" si="162"/>
        <v>1+238.671644949498j</v>
      </c>
      <c r="L258" s="87">
        <f t="shared" si="163"/>
        <v>-3159.557972306091</v>
      </c>
      <c r="M258" s="87" t="str">
        <f t="shared" si="164"/>
        <v>17.1269235465434j</v>
      </c>
      <c r="N258" s="87" t="str">
        <f t="shared" si="165"/>
        <v>-3159.55797230609+17.1269235465434j</v>
      </c>
      <c r="O258" s="87" t="str">
        <f t="shared" si="166"/>
        <v>0.0000929724285707927-0.0755390642329699j</v>
      </c>
      <c r="P258" s="87" t="str">
        <f t="shared" si="167"/>
        <v>0.00131901770583194-1.0716872167042j</v>
      </c>
      <c r="R258" s="87">
        <f t="shared" si="168"/>
        <v>23.645320197044338</v>
      </c>
      <c r="S258" s="87" t="str">
        <f t="shared" si="169"/>
        <v>1+0.357471260533447j</v>
      </c>
      <c r="T258" s="87" t="str">
        <f t="shared" si="170"/>
        <v>-3159.55797230609+17.1269235465434j</v>
      </c>
      <c r="U258" s="87" t="str">
        <f t="shared" si="171"/>
        <v>-0.000315877394516145-0.000114851910203929j</v>
      </c>
      <c r="V258" s="87" t="str">
        <f t="shared" si="172"/>
        <v>-0.00746902213634235-0.00271571019201408j</v>
      </c>
      <c r="X258" s="87" t="str">
        <f t="shared" si="173"/>
        <v>-0.432245219034231+0.843559586502439j</v>
      </c>
      <c r="Y258" s="87">
        <f t="shared" si="174"/>
        <v>-0.46516380545050007</v>
      </c>
      <c r="Z258" s="87">
        <f t="shared" si="175"/>
        <v>-62.869113861575912</v>
      </c>
      <c r="AB258" s="87" t="str">
        <f t="shared" si="176"/>
        <v>-0.00283735360806811-0.00103165179740007j</v>
      </c>
      <c r="AC258" s="87">
        <f t="shared" si="177"/>
        <v>-50.402490003520427</v>
      </c>
      <c r="AD258" s="87">
        <f t="shared" si="178"/>
        <v>19.981088444188117</v>
      </c>
      <c r="AF258" s="87" t="str">
        <f t="shared" si="179"/>
        <v>-0.00239973789383438+0.00174841347235955j</v>
      </c>
      <c r="AG258" s="87">
        <f t="shared" si="180"/>
        <v>-50.547436097329751</v>
      </c>
      <c r="AH258" s="87">
        <f t="shared" si="181"/>
        <v>-36.076526354540164</v>
      </c>
      <c r="AJ258" s="87" t="str">
        <f t="shared" si="182"/>
        <v>156617.406184174-11757.1065381284j</v>
      </c>
      <c r="AK258" s="87" t="str">
        <f t="shared" si="183"/>
        <v>29999.9999999994-0.00428965512640128j</v>
      </c>
      <c r="AL258" s="87" t="str">
        <f t="shared" si="197"/>
        <v>10000-4662.37947123228j</v>
      </c>
      <c r="AM258" s="87" t="str">
        <f t="shared" si="198"/>
        <v>302.113213635439-1893.82862749445j</v>
      </c>
      <c r="AN258" s="87" t="str">
        <f t="shared" si="199"/>
        <v>10302.1132136354-1893.82862749445j</v>
      </c>
      <c r="AO258" s="87" t="str">
        <f t="shared" si="200"/>
        <v>7717.86667822051-1047.05559304724j</v>
      </c>
      <c r="AP258" s="87" t="str">
        <f t="shared" si="201"/>
        <v>0.160121166055486+0.0100877942954327j</v>
      </c>
      <c r="AQ258" s="87" t="str">
        <f t="shared" si="184"/>
        <v>1+652.027579213007j</v>
      </c>
      <c r="AR258" s="87">
        <f t="shared" si="185"/>
        <v>-3.1067482752512751E-4</v>
      </c>
      <c r="AS258" s="87" t="str">
        <f t="shared" si="186"/>
        <v>0.0362894337869913j</v>
      </c>
      <c r="AT258" s="87" t="str">
        <f t="shared" si="187"/>
        <v>-0.000310674827525128+0.0362894337869913j</v>
      </c>
      <c r="AU258" s="87" t="str">
        <f t="shared" si="188"/>
        <v>5.38976087310663-0.0544087582419618j</v>
      </c>
      <c r="AW258" s="87" t="str">
        <f t="shared" si="202"/>
        <v>0.0567300538069606-0.250892055178487j</v>
      </c>
      <c r="AX258" s="87">
        <f t="shared" si="189"/>
        <v>-11.793708800410236</v>
      </c>
      <c r="AY258" s="87">
        <f t="shared" si="190"/>
        <v>102.74108780935578</v>
      </c>
      <c r="AZ258" s="87" t="str">
        <f t="shared" si="191"/>
        <v>-0.000419796462533362+0.000653343816019751j</v>
      </c>
      <c r="BA258" s="87">
        <f t="shared" si="192"/>
        <v>-62.196198803930656</v>
      </c>
      <c r="BB258" s="87">
        <f t="shared" si="193"/>
        <v>-57.277823746456079</v>
      </c>
      <c r="BD258" s="87" t="str">
        <f t="shared" si="194"/>
        <v>0.000302525789542216+0.000701262762437575j</v>
      </c>
      <c r="BE258" s="87">
        <f t="shared" si="195"/>
        <v>-62.341144897739973</v>
      </c>
      <c r="BF258" s="87">
        <f t="shared" si="196"/>
        <v>-113.33543854518436</v>
      </c>
      <c r="BH258" s="87">
        <f t="shared" si="203"/>
        <v>63.341144897739973</v>
      </c>
      <c r="BI258" s="107">
        <f t="shared" si="204"/>
        <v>113.33543854518436</v>
      </c>
      <c r="BJ258" s="91"/>
      <c r="BK258" s="91"/>
      <c r="BL258" s="91"/>
      <c r="BM258" s="91"/>
      <c r="BN258" s="42"/>
      <c r="BO258" s="42"/>
      <c r="BP258" s="42"/>
    </row>
    <row r="259" spans="1:68" s="87" customFormat="1">
      <c r="A259" s="87">
        <v>195</v>
      </c>
      <c r="B259" s="87">
        <f t="shared" si="154"/>
        <v>794328.23472428159</v>
      </c>
      <c r="C259" s="87" t="str">
        <f t="shared" si="155"/>
        <v>4990911.4934975j</v>
      </c>
      <c r="D259" s="87">
        <f t="shared" si="156"/>
        <v>-11.463354952695138</v>
      </c>
      <c r="E259" s="87" t="str">
        <f t="shared" si="157"/>
        <v>-5.54545721499722j</v>
      </c>
      <c r="F259" s="87" t="str">
        <f t="shared" si="158"/>
        <v>-11.4633549526951-5.54545721499722j</v>
      </c>
      <c r="G259" s="87">
        <f t="shared" si="159"/>
        <v>22.099453492746171</v>
      </c>
      <c r="H259" s="87">
        <f t="shared" si="160"/>
        <v>-154.18438433274889</v>
      </c>
      <c r="J259" s="87">
        <f t="shared" si="161"/>
        <v>14.187192118226601</v>
      </c>
      <c r="K259" s="87" t="str">
        <f t="shared" si="162"/>
        <v>1+249.919893036887j</v>
      </c>
      <c r="L259" s="87">
        <f t="shared" si="163"/>
        <v>-3464.4829042801266</v>
      </c>
      <c r="M259" s="87" t="str">
        <f t="shared" si="164"/>
        <v>17.9340905858707j</v>
      </c>
      <c r="N259" s="87" t="str">
        <f t="shared" si="165"/>
        <v>-3464.48290428013+17.9340905858707j</v>
      </c>
      <c r="O259" s="87" t="str">
        <f t="shared" si="166"/>
        <v>0.000084779321619822-0.0721372797909022j</v>
      </c>
      <c r="P259" s="87" t="str">
        <f t="shared" si="167"/>
        <v>0.00120278052347334-1.02342544727979j</v>
      </c>
      <c r="R259" s="87">
        <f t="shared" si="168"/>
        <v>23.645320197044338</v>
      </c>
      <c r="S259" s="87" t="str">
        <f t="shared" si="169"/>
        <v>1+0.374318362012312j</v>
      </c>
      <c r="T259" s="87" t="str">
        <f t="shared" si="170"/>
        <v>-3464.48290428013+17.9340905858707j</v>
      </c>
      <c r="U259" s="87" t="str">
        <f t="shared" si="171"/>
        <v>-0.000288076346002806-0.000109535754622528j</v>
      </c>
      <c r="V259" s="87" t="str">
        <f t="shared" si="172"/>
        <v>-0.00681165744243088-0.00259000799107455j</v>
      </c>
      <c r="X259" s="87" t="str">
        <f t="shared" si="173"/>
        <v>-0.432242127230265+0.890841997800545j</v>
      </c>
      <c r="Y259" s="87">
        <f t="shared" si="174"/>
        <v>-8.5822027522472408E-2</v>
      </c>
      <c r="Z259" s="87">
        <f t="shared" si="175"/>
        <v>-64.117047511947362</v>
      </c>
      <c r="AB259" s="87" t="str">
        <f t="shared" si="176"/>
        <v>-0.0025876320177396-0.000983899683821179j</v>
      </c>
      <c r="AC259" s="87">
        <f t="shared" si="177"/>
        <v>-51.155502813167956</v>
      </c>
      <c r="AD259" s="87">
        <f t="shared" si="178"/>
        <v>20.81838974199502</v>
      </c>
      <c r="AF259" s="87" t="str">
        <f t="shared" si="179"/>
        <v>-0.00210193183551792+0.00156508524917022j</v>
      </c>
      <c r="AG259" s="87">
        <f t="shared" si="180"/>
        <v>-51.631944212994881</v>
      </c>
      <c r="AH259" s="87">
        <f t="shared" si="181"/>
        <v>-36.671138240385488</v>
      </c>
      <c r="AJ259" s="87" t="str">
        <f t="shared" si="182"/>
        <v>156532.778045365-12304.5495466274j</v>
      </c>
      <c r="AK259" s="87" t="str">
        <f t="shared" si="183"/>
        <v>29999.9999999993-0.00449182034414765j</v>
      </c>
      <c r="AL259" s="87" t="str">
        <f t="shared" si="197"/>
        <v>9999.99999999996-4452.53782824536j</v>
      </c>
      <c r="AM259" s="87" t="str">
        <f t="shared" si="198"/>
        <v>283.351028156291-1820.70550283739j</v>
      </c>
      <c r="AN259" s="87" t="str">
        <f t="shared" si="199"/>
        <v>10283.3510281563-1820.70550283739j</v>
      </c>
      <c r="AO259" s="87" t="str">
        <f t="shared" si="200"/>
        <v>7703.81067512319-1007.73160987935j</v>
      </c>
      <c r="AP259" s="87" t="str">
        <f t="shared" si="201"/>
        <v>0.160132854089064+0.0105630703906111j</v>
      </c>
      <c r="AQ259" s="87" t="str">
        <f t="shared" si="184"/>
        <v>1+682.756692310458j</v>
      </c>
      <c r="AR259" s="87">
        <f t="shared" si="185"/>
        <v>-3.4065782229145949E-4</v>
      </c>
      <c r="AS259" s="87" t="str">
        <f t="shared" si="186"/>
        <v>0.0379997021109614j</v>
      </c>
      <c r="AT259" s="87" t="str">
        <f t="shared" si="187"/>
        <v>-0.000340657822291459+0.0379997021109614j</v>
      </c>
      <c r="AU259" s="87" t="str">
        <f t="shared" si="188"/>
        <v>5.38972273862565-0.0562123146296667j</v>
      </c>
      <c r="AW259" s="87" t="str">
        <f t="shared" si="202"/>
        <v>0.0503566730312727-0.241277230793752j</v>
      </c>
      <c r="AX259" s="87">
        <f t="shared" si="189"/>
        <v>-12.164501674794931</v>
      </c>
      <c r="AY259" s="87">
        <f t="shared" si="190"/>
        <v>101.7889032886888</v>
      </c>
      <c r="AZ259" s="87" t="str">
        <f t="shared" si="191"/>
        <v>-0.000367697130533788+0.000574790772879703j</v>
      </c>
      <c r="BA259" s="87">
        <f t="shared" si="192"/>
        <v>-63.32000448796289</v>
      </c>
      <c r="BB259" s="87">
        <f t="shared" si="193"/>
        <v>-57.392706969316137</v>
      </c>
      <c r="BD259" s="87" t="str">
        <f t="shared" si="194"/>
        <v>0.00027177314070074+0.000585960778749525j</v>
      </c>
      <c r="BE259" s="87">
        <f t="shared" si="195"/>
        <v>-63.796445887789808</v>
      </c>
      <c r="BF259" s="87">
        <f t="shared" si="196"/>
        <v>-114.88223495169657</v>
      </c>
      <c r="BH259" s="87">
        <f t="shared" si="203"/>
        <v>64.796445887789815</v>
      </c>
      <c r="BI259" s="107">
        <f t="shared" si="204"/>
        <v>114.88223495169657</v>
      </c>
      <c r="BJ259" s="91"/>
      <c r="BK259" s="91"/>
      <c r="BL259" s="91"/>
      <c r="BM259" s="91"/>
      <c r="BN259" s="42"/>
      <c r="BO259" s="42"/>
      <c r="BP259" s="42"/>
    </row>
    <row r="260" spans="1:68" s="87" customFormat="1">
      <c r="A260" s="87">
        <v>196</v>
      </c>
      <c r="B260" s="87">
        <f t="shared" si="154"/>
        <v>831763.77110267093</v>
      </c>
      <c r="C260" s="87" t="str">
        <f t="shared" si="155"/>
        <v>5226125.90563659j</v>
      </c>
      <c r="D260" s="87">
        <f t="shared" si="156"/>
        <v>-12.665796956423469</v>
      </c>
      <c r="E260" s="87" t="str">
        <f t="shared" si="157"/>
        <v>-5.80680656181843j</v>
      </c>
      <c r="F260" s="87" t="str">
        <f t="shared" si="158"/>
        <v>-12.6657969564235-5.80680656181843j</v>
      </c>
      <c r="G260" s="87">
        <f t="shared" si="159"/>
        <v>22.881181906281725</v>
      </c>
      <c r="H260" s="87">
        <f t="shared" si="160"/>
        <v>-155.37026865024754</v>
      </c>
      <c r="J260" s="87">
        <f t="shared" si="161"/>
        <v>14.187192118226601</v>
      </c>
      <c r="K260" s="87" t="str">
        <f t="shared" si="162"/>
        <v>1+261.698254724752j</v>
      </c>
      <c r="L260" s="87">
        <f t="shared" si="163"/>
        <v>-3798.8264436501399</v>
      </c>
      <c r="M260" s="87" t="str">
        <f t="shared" si="164"/>
        <v>18.7792982357961j</v>
      </c>
      <c r="N260" s="87" t="str">
        <f t="shared" si="165"/>
        <v>-3798.82644365014+18.7792982357961j</v>
      </c>
      <c r="O260" s="87" t="str">
        <f t="shared" si="166"/>
        <v>0.0000773092300773649-0.0688888547011929j</v>
      </c>
      <c r="P260" s="87" t="str">
        <f t="shared" si="167"/>
        <v>0.00109680089961976-0.977339416450421j</v>
      </c>
      <c r="R260" s="87">
        <f t="shared" si="168"/>
        <v>23.645320197044338</v>
      </c>
      <c r="S260" s="87" t="str">
        <f t="shared" si="169"/>
        <v>1+0.391959442922744j</v>
      </c>
      <c r="T260" s="87" t="str">
        <f t="shared" si="170"/>
        <v>-3798.82644365014+18.7792982357961j</v>
      </c>
      <c r="U260" s="87" t="str">
        <f t="shared" si="171"/>
        <v>-0.000262722710352819-0.000104477842549821j</v>
      </c>
      <c r="V260" s="87" t="str">
        <f t="shared" si="172"/>
        <v>-0.00621216260932774-0.0024704120405869j</v>
      </c>
      <c r="X260" s="87" t="str">
        <f t="shared" si="173"/>
        <v>-0.432239305715855+0.940013618889615j</v>
      </c>
      <c r="Y260" s="87">
        <f t="shared" si="174"/>
        <v>0.29568991612295659</v>
      </c>
      <c r="Z260" s="87">
        <f t="shared" si="175"/>
        <v>-65.305969559189222</v>
      </c>
      <c r="AB260" s="87" t="str">
        <f t="shared" si="176"/>
        <v>-0.00235989419655323-0.000938467230223894j</v>
      </c>
      <c r="AC260" s="87">
        <f t="shared" si="177"/>
        <v>-51.90452313729071</v>
      </c>
      <c r="AD260" s="87">
        <f t="shared" si="178"/>
        <v>21.686401526249256</v>
      </c>
      <c r="AF260" s="87" t="str">
        <f t="shared" si="179"/>
        <v>-0.00184251080487847+0.00139762760490779j</v>
      </c>
      <c r="AG260" s="87">
        <f t="shared" si="180"/>
        <v>-52.717916304671313</v>
      </c>
      <c r="AH260" s="87">
        <f t="shared" si="181"/>
        <v>-37.181958641281142</v>
      </c>
      <c r="AJ260" s="87" t="str">
        <f t="shared" si="182"/>
        <v>156440.090192819-12876.8158265798j</v>
      </c>
      <c r="AK260" s="87" t="str">
        <f t="shared" si="183"/>
        <v>29999.9999999993-0.00470351331507282j</v>
      </c>
      <c r="AL260" s="87" t="str">
        <f t="shared" si="197"/>
        <v>10000-4252.1406149543j</v>
      </c>
      <c r="AM260" s="87" t="str">
        <f t="shared" si="198"/>
        <v>265.286413074869-1749.89818264292j</v>
      </c>
      <c r="AN260" s="87" t="str">
        <f t="shared" si="199"/>
        <v>10265.2864130749-1749.89818264292j</v>
      </c>
      <c r="AO260" s="87" t="str">
        <f t="shared" si="200"/>
        <v>7690.37665693069-969.55926388071j</v>
      </c>
      <c r="AP260" s="87" t="str">
        <f t="shared" si="201"/>
        <v>0.160145669389138+0.0110607237839755j</v>
      </c>
      <c r="AQ260" s="87" t="str">
        <f t="shared" si="184"/>
        <v>1+714.934023891085j</v>
      </c>
      <c r="AR260" s="87">
        <f t="shared" si="185"/>
        <v>-3.7353352230782151E-4</v>
      </c>
      <c r="AS260" s="87" t="str">
        <f t="shared" si="186"/>
        <v>0.0397905728978178j</v>
      </c>
      <c r="AT260" s="87" t="str">
        <f t="shared" si="187"/>
        <v>-0.000373533522307822+0.0397905728978178j</v>
      </c>
      <c r="AU260" s="87" t="str">
        <f t="shared" si="188"/>
        <v>5.38968092598798-0.0581350388279139j</v>
      </c>
      <c r="AW260" s="87" t="str">
        <f t="shared" si="202"/>
        <v>0.0444604183226447-0.231861657626819j</v>
      </c>
      <c r="AX260" s="87">
        <f t="shared" si="189"/>
        <v>-12.538598617720069</v>
      </c>
      <c r="AY260" s="87">
        <f t="shared" si="190"/>
        <v>100.85493537203661</v>
      </c>
      <c r="AZ260" s="87" t="str">
        <f t="shared" si="191"/>
        <v>-0.000322516450804099+0.000505444334598893j</v>
      </c>
      <c r="BA260" s="87">
        <f t="shared" si="192"/>
        <v>-64.443121755010807</v>
      </c>
      <c r="BB260" s="87">
        <f t="shared" si="193"/>
        <v>-57.458663101714166</v>
      </c>
      <c r="BD260" s="87" t="str">
        <f t="shared" si="194"/>
        <v>0.00024213745207003+0.000489346717387921j</v>
      </c>
      <c r="BE260" s="87">
        <f t="shared" si="195"/>
        <v>-65.256514922391432</v>
      </c>
      <c r="BF260" s="87">
        <f t="shared" si="196"/>
        <v>-116.32702326924449</v>
      </c>
      <c r="BH260" s="87">
        <f t="shared" si="203"/>
        <v>66.256514922391432</v>
      </c>
      <c r="BI260" s="107">
        <f t="shared" si="204"/>
        <v>116.32702326924449</v>
      </c>
      <c r="BJ260" s="91"/>
      <c r="BK260" s="91"/>
      <c r="BL260" s="91"/>
      <c r="BM260" s="91"/>
      <c r="BN260" s="42"/>
      <c r="BO260" s="42"/>
      <c r="BP260" s="42"/>
    </row>
    <row r="261" spans="1:68" s="87" customFormat="1">
      <c r="A261" s="87">
        <v>197</v>
      </c>
      <c r="B261" s="87">
        <f t="shared" si="154"/>
        <v>870963.58995608194</v>
      </c>
      <c r="C261" s="87" t="str">
        <f t="shared" si="155"/>
        <v>5472425.63150044j</v>
      </c>
      <c r="D261" s="87">
        <f t="shared" si="156"/>
        <v>-13.98424839563825</v>
      </c>
      <c r="E261" s="87" t="str">
        <f t="shared" si="157"/>
        <v>-6.08047292388938j</v>
      </c>
      <c r="F261" s="87" t="str">
        <f t="shared" si="158"/>
        <v>-13.9842483956383-6.08047292388938j</v>
      </c>
      <c r="G261" s="87">
        <f t="shared" si="159"/>
        <v>23.66481520772313</v>
      </c>
      <c r="H261" s="87">
        <f t="shared" si="160"/>
        <v>-156.50017687922491</v>
      </c>
      <c r="J261" s="87">
        <f t="shared" si="161"/>
        <v>14.187192118226601</v>
      </c>
      <c r="K261" s="87" t="str">
        <f t="shared" si="162"/>
        <v>1+274.031713497384j</v>
      </c>
      <c r="L261" s="87">
        <f t="shared" si="163"/>
        <v>-4165.4268445906837</v>
      </c>
      <c r="M261" s="87" t="str">
        <f t="shared" si="164"/>
        <v>19.664339295064j</v>
      </c>
      <c r="N261" s="87" t="str">
        <f t="shared" si="165"/>
        <v>-4165.42684459068+19.664339295064j</v>
      </c>
      <c r="O261" s="87" t="str">
        <f t="shared" si="166"/>
        <v>0.00007049818108011-0.0657868538858373j</v>
      </c>
      <c r="P261" s="87" t="str">
        <f t="shared" si="167"/>
        <v>0.00100017123896905-0.933330734932076j</v>
      </c>
      <c r="R261" s="87">
        <f t="shared" si="168"/>
        <v>23.645320197044338</v>
      </c>
      <c r="S261" s="87" t="str">
        <f t="shared" si="169"/>
        <v>1+0.410431922362533j</v>
      </c>
      <c r="T261" s="87" t="str">
        <f t="shared" si="170"/>
        <v>-4165.42684459068+19.664339295064j</v>
      </c>
      <c r="U261" s="87" t="str">
        <f t="shared" si="171"/>
        <v>-0.000239600936125768-0.0000996640997320695j</v>
      </c>
      <c r="V261" s="87" t="str">
        <f t="shared" si="172"/>
        <v>-0.00566544085420535-0.00235658955031494j</v>
      </c>
      <c r="X261" s="87" t="str">
        <f t="shared" si="173"/>
        <v>-0.43223673100404+0.991178799140553j</v>
      </c>
      <c r="Y261" s="87">
        <f t="shared" si="174"/>
        <v>0.67912579866910594</v>
      </c>
      <c r="Z261" s="87">
        <f t="shared" si="175"/>
        <v>-66.438777884524825</v>
      </c>
      <c r="AB261" s="87" t="str">
        <f t="shared" si="176"/>
        <v>-0.00215220396399147-0.000895228015296276j</v>
      </c>
      <c r="AC261" s="87">
        <f t="shared" si="177"/>
        <v>-52.649271144733731</v>
      </c>
      <c r="AD261" s="87">
        <f t="shared" si="178"/>
        <v>22.585294465639464</v>
      </c>
      <c r="AF261" s="87" t="str">
        <f t="shared" si="179"/>
        <v>-0.00161656091168233+0.00124536567702411j</v>
      </c>
      <c r="AG261" s="87">
        <f t="shared" si="180"/>
        <v>-53.804679142874548</v>
      </c>
      <c r="AH261" s="87">
        <f t="shared" si="181"/>
        <v>-37.609925513622471</v>
      </c>
      <c r="AJ261" s="87" t="str">
        <f t="shared" si="182"/>
        <v>156338.586064215-13474.932747733j</v>
      </c>
      <c r="AK261" s="87" t="str">
        <f t="shared" si="183"/>
        <v>29999.9999999992-0.00492518306835026j</v>
      </c>
      <c r="AL261" s="87" t="str">
        <f t="shared" si="197"/>
        <v>10000-4060.76276200199j</v>
      </c>
      <c r="AM261" s="87" t="str">
        <f t="shared" si="198"/>
        <v>247.953402892145-1681.34565085036j</v>
      </c>
      <c r="AN261" s="87" t="str">
        <f t="shared" si="199"/>
        <v>10247.9534028921-1681.34565085036j</v>
      </c>
      <c r="AO261" s="87" t="str">
        <f t="shared" si="200"/>
        <v>7677.56988084601-932.512843104278j</v>
      </c>
      <c r="AP261" s="87" t="str">
        <f t="shared" si="201"/>
        <v>0.16015972063674+0.0115818058604617j</v>
      </c>
      <c r="AQ261" s="87" t="str">
        <f t="shared" si="184"/>
        <v>1+748.62782638926j</v>
      </c>
      <c r="AR261" s="87">
        <f t="shared" si="185"/>
        <v>-4.0958101055870507E-4</v>
      </c>
      <c r="AS261" s="87" t="str">
        <f t="shared" si="186"/>
        <v>0.0416658448246054j</v>
      </c>
      <c r="AT261" s="87" t="str">
        <f t="shared" si="187"/>
        <v>-0.000409581010558705+0.0416658448246054j</v>
      </c>
      <c r="AU261" s="87" t="str">
        <f t="shared" si="188"/>
        <v>5.38963508042466-0.0601809994094301j</v>
      </c>
      <c r="AW261" s="87" t="str">
        <f t="shared" si="202"/>
        <v>0.0390133489645228-0.222659874226638j</v>
      </c>
      <c r="AX261" s="87">
        <f t="shared" si="189"/>
        <v>-12.915836809054094</v>
      </c>
      <c r="AY261" s="87">
        <f t="shared" si="190"/>
        <v>99.938197391802106</v>
      </c>
      <c r="AZ261" s="87" t="str">
        <f t="shared" si="191"/>
        <v>-0.00028329604158006+0.000444283620968842j</v>
      </c>
      <c r="BA261" s="87">
        <f t="shared" si="192"/>
        <v>-65.565107953787816</v>
      </c>
      <c r="BB261" s="87">
        <f t="shared" si="193"/>
        <v>-57.476508142558458</v>
      </c>
      <c r="BD261" s="87" t="str">
        <f t="shared" si="194"/>
        <v>0.000214225510042491+0.000408529135021068j</v>
      </c>
      <c r="BE261" s="87">
        <f t="shared" si="195"/>
        <v>-66.720515951928633</v>
      </c>
      <c r="BF261" s="87">
        <f t="shared" si="196"/>
        <v>-117.67172812182041</v>
      </c>
      <c r="BH261" s="87">
        <f t="shared" si="203"/>
        <v>67.720515951928633</v>
      </c>
      <c r="BI261" s="107">
        <f t="shared" si="204"/>
        <v>117.67172812182041</v>
      </c>
      <c r="BJ261" s="91"/>
      <c r="BK261" s="91"/>
      <c r="BL261" s="91"/>
      <c r="BM261" s="91"/>
      <c r="BN261" s="42"/>
      <c r="BO261" s="42"/>
      <c r="BP261" s="42"/>
    </row>
    <row r="262" spans="1:68" s="87" customFormat="1">
      <c r="A262" s="87">
        <v>198</v>
      </c>
      <c r="B262" s="87">
        <f t="shared" si="154"/>
        <v>912010.8393559109</v>
      </c>
      <c r="C262" s="87" t="str">
        <f t="shared" si="155"/>
        <v>5730333.10582958j</v>
      </c>
      <c r="D262" s="87">
        <f t="shared" si="156"/>
        <v>-15.42990165141083</v>
      </c>
      <c r="E262" s="87" t="str">
        <f t="shared" si="157"/>
        <v>-6.36703678425509j</v>
      </c>
      <c r="F262" s="87" t="str">
        <f t="shared" si="158"/>
        <v>-15.4299016514108-6.36703678425509j</v>
      </c>
      <c r="G262" s="87">
        <f t="shared" si="159"/>
        <v>24.450138815102068</v>
      </c>
      <c r="H262" s="87">
        <f t="shared" si="160"/>
        <v>-157.57686407320003</v>
      </c>
      <c r="J262" s="87">
        <f t="shared" si="161"/>
        <v>14.187192118226601</v>
      </c>
      <c r="K262" s="87" t="str">
        <f t="shared" si="162"/>
        <v>1+286.946430274416j</v>
      </c>
      <c r="L262" s="87">
        <f t="shared" si="163"/>
        <v>-4567.3961909193322</v>
      </c>
      <c r="M262" s="87" t="str">
        <f t="shared" si="164"/>
        <v>20.5910910544206j</v>
      </c>
      <c r="N262" s="87" t="str">
        <f t="shared" si="165"/>
        <v>-4567.39619091933+20.5910910544206j</v>
      </c>
      <c r="O262" s="87" t="str">
        <f t="shared" si="166"/>
        <v>0.000064287890520769-0.0628246586287169j</v>
      </c>
      <c r="P262" s="87" t="str">
        <f t="shared" si="167"/>
        <v>0.000912064653693669-0.891305501727609j</v>
      </c>
      <c r="R262" s="87">
        <f t="shared" si="168"/>
        <v>23.645320197044338</v>
      </c>
      <c r="S262" s="87" t="str">
        <f t="shared" si="169"/>
        <v>1+0.429774982937218j</v>
      </c>
      <c r="T262" s="87" t="str">
        <f t="shared" si="170"/>
        <v>-4567.39619091933+20.5910910544206j</v>
      </c>
      <c r="U262" s="87" t="str">
        <f t="shared" si="171"/>
        <v>-0.00021851447268216-0.0000950814022230714j</v>
      </c>
      <c r="V262" s="87" t="str">
        <f t="shared" si="172"/>
        <v>-0.00516684467425797-0.00224823020034849j</v>
      </c>
      <c r="X262" s="87" t="str">
        <f t="shared" si="173"/>
        <v>-0.432234381624676+1.04444611010358j</v>
      </c>
      <c r="Y262" s="87">
        <f t="shared" si="174"/>
        <v>1.0642693611950986</v>
      </c>
      <c r="Z262" s="87">
        <f t="shared" si="175"/>
        <v>-67.518233853866164</v>
      </c>
      <c r="AB262" s="87" t="str">
        <f t="shared" si="176"/>
        <v>-0.00196279581332351-0.000854064153818448j</v>
      </c>
      <c r="AC262" s="87">
        <f t="shared" si="177"/>
        <v>-53.389455801771028</v>
      </c>
      <c r="AD262" s="87">
        <f t="shared" si="178"/>
        <v>23.515126776334085</v>
      </c>
      <c r="AF262" s="87" t="str">
        <f t="shared" si="179"/>
        <v>-0.00141975360506198+0.00110748512404358j</v>
      </c>
      <c r="AG262" s="87">
        <f t="shared" si="180"/>
        <v>-54.891570374544358</v>
      </c>
      <c r="AH262" s="87">
        <f t="shared" si="181"/>
        <v>-37.956170651045682</v>
      </c>
      <c r="AJ262" s="87" t="str">
        <f t="shared" si="182"/>
        <v>156227.440287115-14099.9555515812j</v>
      </c>
      <c r="AK262" s="87" t="str">
        <f t="shared" si="183"/>
        <v>29999.9999999991-0.00515729979524646j</v>
      </c>
      <c r="AL262" s="87" t="str">
        <f t="shared" si="197"/>
        <v>10000-3877.99833130383j</v>
      </c>
      <c r="AM262" s="87" t="str">
        <f t="shared" si="198"/>
        <v>231.377396182263-1614.99348142377j</v>
      </c>
      <c r="AN262" s="87" t="str">
        <f t="shared" si="199"/>
        <v>10231.3773961823-1614.99348142377j</v>
      </c>
      <c r="AO262" s="87" t="str">
        <f t="shared" si="200"/>
        <v>7665.39187560867-896.570341338229j</v>
      </c>
      <c r="AP262" s="87" t="str">
        <f t="shared" si="201"/>
        <v>0.160175126982967+0.0121274170778383j</v>
      </c>
      <c r="AQ262" s="87" t="str">
        <f t="shared" si="184"/>
        <v>1+783.909568877486j</v>
      </c>
      <c r="AR262" s="87">
        <f t="shared" si="185"/>
        <v>-4.4910629545152572E-4</v>
      </c>
      <c r="AS262" s="87" t="str">
        <f t="shared" si="186"/>
        <v>0.0436294955945031j</v>
      </c>
      <c r="AT262" s="87" t="str">
        <f t="shared" si="187"/>
        <v>-0.000449106295451526+0.0436294955945031j</v>
      </c>
      <c r="AU262" s="87" t="str">
        <f t="shared" si="188"/>
        <v>5.38958481296745-0.0623545248988935j</v>
      </c>
      <c r="AW262" s="87" t="str">
        <f t="shared" si="202"/>
        <v>0.0339881291831279-0.213683565978167j</v>
      </c>
      <c r="AX262" s="87">
        <f t="shared" si="189"/>
        <v>-13.296070008287852</v>
      </c>
      <c r="AY262" s="87">
        <f t="shared" si="190"/>
        <v>99.037656482630766</v>
      </c>
      <c r="AZ262" s="87" t="str">
        <f t="shared" si="191"/>
        <v>-0.000249211231625394+0.000390389165887324j</v>
      </c>
      <c r="BA262" s="87">
        <f t="shared" si="192"/>
        <v>-66.685525810058863</v>
      </c>
      <c r="BB262" s="87">
        <f t="shared" si="193"/>
        <v>-57.44721674103512</v>
      </c>
      <c r="BD262" s="87" t="str">
        <f t="shared" si="194"/>
        <v>0.000188396601636346+0.000341019360604389j</v>
      </c>
      <c r="BE262" s="87">
        <f t="shared" si="195"/>
        <v>-68.187640382832186</v>
      </c>
      <c r="BF262" s="87">
        <f t="shared" si="196"/>
        <v>-118.91851416841472</v>
      </c>
      <c r="BH262" s="87">
        <f t="shared" si="203"/>
        <v>69.187640382832186</v>
      </c>
      <c r="BI262" s="107">
        <f t="shared" si="204"/>
        <v>118.91851416841472</v>
      </c>
      <c r="BJ262" s="91"/>
      <c r="BK262" s="91"/>
      <c r="BL262" s="91"/>
      <c r="BM262" s="91"/>
      <c r="BN262" s="42"/>
      <c r="BO262" s="42"/>
      <c r="BP262" s="42"/>
    </row>
    <row r="263" spans="1:68" s="87" customFormat="1">
      <c r="A263" s="87">
        <v>199</v>
      </c>
      <c r="B263" s="87">
        <f t="shared" si="154"/>
        <v>954992.58602143696</v>
      </c>
      <c r="C263" s="87" t="str">
        <f t="shared" si="155"/>
        <v>6000395.38495533j</v>
      </c>
      <c r="D263" s="87">
        <f t="shared" si="156"/>
        <v>-17.015028925548865</v>
      </c>
      <c r="E263" s="87" t="str">
        <f t="shared" si="157"/>
        <v>-6.6671059832837j</v>
      </c>
      <c r="F263" s="87" t="str">
        <f t="shared" si="158"/>
        <v>-17.0150289255489-6.6671059832837j</v>
      </c>
      <c r="G263" s="87">
        <f t="shared" si="159"/>
        <v>25.236964180286918</v>
      </c>
      <c r="H263" s="87">
        <f t="shared" si="160"/>
        <v>-158.60295103502452</v>
      </c>
      <c r="J263" s="87">
        <f t="shared" si="161"/>
        <v>14.187192118226601</v>
      </c>
      <c r="K263" s="87" t="str">
        <f t="shared" si="162"/>
        <v>1+300.469798901638j</v>
      </c>
      <c r="L263" s="87">
        <f t="shared" si="163"/>
        <v>-5008.1468146866209</v>
      </c>
      <c r="M263" s="87" t="str">
        <f t="shared" si="164"/>
        <v>21.5615192785993j</v>
      </c>
      <c r="N263" s="87" t="str">
        <f t="shared" si="165"/>
        <v>-5008.14681468662+21.5615192785993j</v>
      </c>
      <c r="O263" s="87" t="str">
        <f t="shared" si="166"/>
        <v>0.0000586252524189328-0.0599959517901891j</v>
      </c>
      <c r="P263" s="87" t="str">
        <f t="shared" si="167"/>
        <v>0.000831727719046928-0.851174094363274j</v>
      </c>
      <c r="R263" s="87">
        <f t="shared" si="168"/>
        <v>23.645320197044338</v>
      </c>
      <c r="S263" s="87" t="str">
        <f t="shared" si="169"/>
        <v>1+0.45002965387165j</v>
      </c>
      <c r="T263" s="87" t="str">
        <f t="shared" si="170"/>
        <v>-5008.14681468662+21.5615192785993j</v>
      </c>
      <c r="U263" s="87" t="str">
        <f t="shared" si="171"/>
        <v>-0.000199284092492512-0.000090717492614536j</v>
      </c>
      <c r="V263" s="87" t="str">
        <f t="shared" si="172"/>
        <v>-0.00471213617716285-0.00214504416034371j</v>
      </c>
      <c r="X263" s="87" t="str">
        <f t="shared" si="173"/>
        <v>-0.432232237955362+1.09992857663335j</v>
      </c>
      <c r="Y263" s="87">
        <f t="shared" si="174"/>
        <v>1.4509305262834027</v>
      </c>
      <c r="Z263" s="87">
        <f t="shared" si="175"/>
        <v>-68.546964283132397</v>
      </c>
      <c r="AB263" s="87" t="str">
        <f t="shared" si="176"/>
        <v>-0.00179005984182673-0.000814865544205919j</v>
      </c>
      <c r="AC263" s="87">
        <f t="shared" si="177"/>
        <v>-54.124775964724073</v>
      </c>
      <c r="AD263" s="87">
        <f t="shared" si="178"/>
        <v>24.47583159068418</v>
      </c>
      <c r="AF263" s="87" t="str">
        <f t="shared" si="179"/>
        <v>-0.00124828892584488+0.000983083497407053j</v>
      </c>
      <c r="AG263" s="87">
        <f t="shared" si="180"/>
        <v>-55.977939346603961</v>
      </c>
      <c r="AH263" s="87">
        <f t="shared" si="181"/>
        <v>-38.22201761710221</v>
      </c>
      <c r="AJ263" s="87" t="str">
        <f t="shared" si="182"/>
        <v>156105.752863869-14752.965765027j</v>
      </c>
      <c r="AK263" s="87" t="str">
        <f t="shared" si="183"/>
        <v>29999.999999999-0.00540035584645962j</v>
      </c>
      <c r="AL263" s="87" t="str">
        <f t="shared" si="197"/>
        <v>10000-3703.45965499866j</v>
      </c>
      <c r="AM263" s="87" t="str">
        <f t="shared" si="198"/>
        <v>215.575498682452-1550.79244626278j</v>
      </c>
      <c r="AN263" s="87" t="str">
        <f t="shared" si="199"/>
        <v>10215.5754986825-1550.79244626278j</v>
      </c>
      <c r="AO263" s="87" t="str">
        <f t="shared" si="200"/>
        <v>7653.84045502524-861.712628251339j</v>
      </c>
      <c r="AP263" s="87" t="str">
        <f t="shared" si="201"/>
        <v>0.160192019056022+0.0126987092087948j</v>
      </c>
      <c r="AQ263" s="87" t="str">
        <f t="shared" si="184"/>
        <v>1+820.854088661889j</v>
      </c>
      <c r="AR263" s="87">
        <f t="shared" si="185"/>
        <v>-4.9244490853285114E-4</v>
      </c>
      <c r="AS263" s="87" t="str">
        <f t="shared" si="186"/>
        <v>0.0456856903740652j</v>
      </c>
      <c r="AT263" s="87" t="str">
        <f t="shared" si="187"/>
        <v>-0.000492444908532851+0.0456856903740652j</v>
      </c>
      <c r="AU263" s="87" t="str">
        <f t="shared" si="188"/>
        <v>5.38952969715426-0.0646602127397676j</v>
      </c>
      <c r="AW263" s="87" t="str">
        <f t="shared" si="202"/>
        <v>0.02935821977616-0.204941827241345j</v>
      </c>
      <c r="AX263" s="87">
        <f t="shared" si="189"/>
        <v>-13.67916851941928</v>
      </c>
      <c r="AY263" s="87">
        <f t="shared" si="190"/>
        <v>98.15224302817235</v>
      </c>
      <c r="AZ263" s="87" t="str">
        <f t="shared" si="191"/>
        <v>-0.000219553003834401+0.000342935133120505j</v>
      </c>
      <c r="BA263" s="87">
        <f t="shared" si="192"/>
        <v>-67.803944484143372</v>
      </c>
      <c r="BB263" s="87">
        <f t="shared" si="193"/>
        <v>-57.371925381143498</v>
      </c>
      <c r="BD263" s="87" t="str">
        <f t="shared" si="194"/>
        <v>0.000164827387660312+0.000284688194762978j</v>
      </c>
      <c r="BE263" s="87">
        <f t="shared" si="195"/>
        <v>-69.657107866023253</v>
      </c>
      <c r="BF263" s="87">
        <f t="shared" si="196"/>
        <v>-120.0697745889297</v>
      </c>
      <c r="BH263" s="87">
        <f t="shared" si="203"/>
        <v>70.657107866023253</v>
      </c>
      <c r="BI263" s="107">
        <f t="shared" si="204"/>
        <v>120.0697745889297</v>
      </c>
      <c r="BJ263" s="91"/>
      <c r="BK263" s="91"/>
      <c r="BL263" s="91"/>
      <c r="BM263" s="91"/>
      <c r="BN263" s="42"/>
      <c r="BO263" s="42"/>
      <c r="BP263" s="42"/>
    </row>
    <row r="264" spans="1:68" s="87" customFormat="1">
      <c r="A264" s="87">
        <v>200</v>
      </c>
      <c r="B264" s="87">
        <f t="shared" si="154"/>
        <v>1000000</v>
      </c>
      <c r="C264" s="87" t="str">
        <f t="shared" si="155"/>
        <v>6283185.30717959j</v>
      </c>
      <c r="D264" s="87">
        <f t="shared" si="156"/>
        <v>-18.753086419753124</v>
      </c>
      <c r="E264" s="87" t="str">
        <f t="shared" si="157"/>
        <v>-6.98131700797732j</v>
      </c>
      <c r="F264" s="87" t="str">
        <f t="shared" si="158"/>
        <v>-18.7530864197531-6.98131700797732j</v>
      </c>
      <c r="G264" s="87">
        <f t="shared" si="159"/>
        <v>26.025125480918611</v>
      </c>
      <c r="H264" s="87">
        <f t="shared" si="160"/>
        <v>-159.58092767292635</v>
      </c>
      <c r="J264" s="87">
        <f t="shared" si="161"/>
        <v>14.187192118226601</v>
      </c>
      <c r="K264" s="87" t="str">
        <f t="shared" si="162"/>
        <v>1+314.630504257018j</v>
      </c>
      <c r="L264" s="87">
        <f t="shared" si="163"/>
        <v>-5491.4202635839683</v>
      </c>
      <c r="M264" s="87" t="str">
        <f t="shared" si="164"/>
        <v>22.5776823759712j</v>
      </c>
      <c r="N264" s="87" t="str">
        <f t="shared" si="165"/>
        <v>-5491.42026358397+22.5776823759712j</v>
      </c>
      <c r="O264" s="87" t="str">
        <f t="shared" si="166"/>
        <v>0.0000534618749208674-0.0572947037578297j</v>
      </c>
      <c r="P264" s="87" t="str">
        <f t="shared" si="167"/>
        <v>0.000758473890502946-0.81285096956921j</v>
      </c>
      <c r="R264" s="87">
        <f t="shared" si="168"/>
        <v>23.645320197044338</v>
      </c>
      <c r="S264" s="87" t="str">
        <f t="shared" si="169"/>
        <v>1+0.471238898038469j</v>
      </c>
      <c r="T264" s="87" t="str">
        <f t="shared" si="170"/>
        <v>-5491.42026358397+22.5776823759712j</v>
      </c>
      <c r="U264" s="87" t="str">
        <f t="shared" si="171"/>
        <v>-0.000181746362046138-0.000086560905350104j</v>
      </c>
      <c r="V264" s="87" t="str">
        <f t="shared" si="172"/>
        <v>-0.00429745092522888-0.00204676032354926j</v>
      </c>
      <c r="X264" s="87" t="str">
        <f t="shared" si="173"/>
        <v>-0.432230282065838+1.15774391735271j</v>
      </c>
      <c r="Y264" s="87">
        <f t="shared" si="174"/>
        <v>1.8389420769435183</v>
      </c>
      <c r="Z264" s="87">
        <f t="shared" si="175"/>
        <v>-69.527464809731143</v>
      </c>
      <c r="AB264" s="87" t="str">
        <f t="shared" si="176"/>
        <v>-0.00163252801579793-0.000777529197646358j</v>
      </c>
      <c r="AC264" s="87">
        <f t="shared" si="177"/>
        <v>-54.854921756388606</v>
      </c>
      <c r="AD264" s="87">
        <f t="shared" si="178"/>
        <v>25.467204423967985</v>
      </c>
      <c r="AF264" s="87" t="str">
        <f t="shared" si="179"/>
        <v>-0.00109884100263868+0.000871211115478478j</v>
      </c>
      <c r="AG264" s="87">
        <f t="shared" si="180"/>
        <v>-57.063148043982963</v>
      </c>
      <c r="AH264" s="87">
        <f t="shared" si="181"/>
        <v>-38.408980709596847</v>
      </c>
      <c r="AJ264" s="87" t="str">
        <f t="shared" si="182"/>
        <v>155972.542955148-15435.0691459527j</v>
      </c>
      <c r="AK264" s="87" t="str">
        <f t="shared" si="183"/>
        <v>29999.9999999989-0.00565486677646144j</v>
      </c>
      <c r="AL264" s="87" t="str">
        <f t="shared" si="197"/>
        <v>10000-3536.77651315322j</v>
      </c>
      <c r="AM264" s="87" t="str">
        <f t="shared" si="198"/>
        <v>200.55701239055-1488.69725792815j</v>
      </c>
      <c r="AN264" s="87" t="str">
        <f t="shared" si="199"/>
        <v>10200.5570123906-1488.69725792815j</v>
      </c>
      <c r="AO264" s="87" t="str">
        <f t="shared" si="200"/>
        <v>7642.90984271319-827.922689362241j</v>
      </c>
      <c r="AP264" s="87" t="str">
        <f t="shared" si="201"/>
        <v>0.160210540064793+0.0132968876782494j</v>
      </c>
      <c r="AQ264" s="87" t="str">
        <f t="shared" si="184"/>
        <v>1+859.539750022168j</v>
      </c>
      <c r="AR264" s="87">
        <f t="shared" si="185"/>
        <v>-5.3996475282761067E-4</v>
      </c>
      <c r="AS264" s="87" t="str">
        <f t="shared" si="186"/>
        <v>0.0478387906280978j</v>
      </c>
      <c r="AT264" s="87" t="str">
        <f t="shared" si="187"/>
        <v>-0.000539964752827611+0.0478387906280978j</v>
      </c>
      <c r="AU264" s="87" t="str">
        <f t="shared" si="188"/>
        <v>5.38946926541775-0.0671029387997916j</v>
      </c>
      <c r="AW264" s="87" t="str">
        <f t="shared" si="202"/>
        <v>0.025098028234997-0.196441419375727j</v>
      </c>
      <c r="AX264" s="87">
        <f t="shared" si="189"/>
        <v>-14.065019086923671</v>
      </c>
      <c r="AY264" s="87">
        <f t="shared" si="190"/>
        <v>97.280859572709886</v>
      </c>
      <c r="AZ264" s="87" t="str">
        <f t="shared" si="191"/>
        <v>-0.000193712173426641+0.000301181670837922j</v>
      </c>
      <c r="BA264" s="87">
        <f t="shared" si="192"/>
        <v>-68.919940843312276</v>
      </c>
      <c r="BB264" s="87">
        <f t="shared" si="193"/>
        <v>-57.251936003322157</v>
      </c>
      <c r="BD264" s="87" t="str">
        <f t="shared" si="194"/>
        <v>0.000143563205590505+0.000237723567401511j</v>
      </c>
      <c r="BE264" s="87">
        <f t="shared" si="195"/>
        <v>-71.128167130906647</v>
      </c>
      <c r="BF264" s="87">
        <f t="shared" si="196"/>
        <v>-121.12812113688705</v>
      </c>
      <c r="BH264" s="87">
        <f t="shared" si="203"/>
        <v>72.128167130906647</v>
      </c>
      <c r="BI264" s="107">
        <f t="shared" si="204"/>
        <v>121.12812113688705</v>
      </c>
      <c r="BJ264" s="91"/>
      <c r="BK264" s="91"/>
      <c r="BL264" s="91"/>
      <c r="BM264" s="91"/>
      <c r="BN264" s="42"/>
      <c r="BO264" s="42"/>
      <c r="BP264" s="42"/>
    </row>
    <row r="265" spans="1:68" s="83" customFormat="1">
      <c r="BN265" s="42"/>
      <c r="BO265" s="42"/>
      <c r="BP265" s="42"/>
    </row>
    <row r="266" spans="1:68" s="83" customFormat="1">
      <c r="BN266" s="42"/>
      <c r="BO266" s="42"/>
      <c r="BP266" s="42"/>
    </row>
    <row r="267" spans="1:68" s="83" customFormat="1">
      <c r="BN267" s="42"/>
      <c r="BO267" s="42"/>
      <c r="BP267" s="42"/>
    </row>
    <row r="268" spans="1:68" s="83" customFormat="1">
      <c r="BN268" s="42"/>
      <c r="BO268" s="42"/>
      <c r="BP268" s="42"/>
    </row>
    <row r="269" spans="1:68" s="83" customFormat="1">
      <c r="BN269" s="42"/>
      <c r="BO269" s="42"/>
      <c r="BP269" s="42"/>
    </row>
    <row r="270" spans="1:68" s="83" customFormat="1">
      <c r="BN270" s="42"/>
      <c r="BO270" s="42"/>
      <c r="BP270" s="42"/>
    </row>
    <row r="271" spans="1:68" s="83" customFormat="1">
      <c r="BN271" s="42"/>
      <c r="BO271" s="42"/>
      <c r="BP271" s="42"/>
    </row>
    <row r="272" spans="1:68" s="83" customFormat="1">
      <c r="BN272" s="42"/>
      <c r="BO272" s="42"/>
      <c r="BP272" s="42"/>
    </row>
    <row r="273" spans="1:68" s="83" customFormat="1">
      <c r="BN273" s="42"/>
      <c r="BO273" s="42"/>
      <c r="BP273" s="42"/>
    </row>
    <row r="274" spans="1:68" s="83" customFormat="1">
      <c r="BN274" s="42"/>
      <c r="BO274" s="42"/>
      <c r="BP274" s="42"/>
    </row>
    <row r="275" spans="1:68" s="41" customForma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BN275" s="42"/>
      <c r="BO275" s="42"/>
      <c r="BP275" s="42"/>
    </row>
    <row r="276" spans="1:68" s="41" customForma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BN276" s="42"/>
      <c r="BO276" s="42"/>
      <c r="BP276" s="42"/>
    </row>
    <row r="277" spans="1:68" s="41" customForma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BN277" s="42"/>
      <c r="BO277" s="42"/>
      <c r="BP277" s="42"/>
    </row>
    <row r="278" spans="1:68" s="41" customForma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BN278" s="42"/>
      <c r="BO278" s="42"/>
      <c r="BP278" s="42"/>
    </row>
    <row r="279" spans="1:68" s="41" customFormat="1">
      <c r="BN279" s="42"/>
      <c r="BO279" s="42"/>
      <c r="BP279" s="42"/>
    </row>
    <row r="280" spans="1:68">
      <c r="BN280" s="42"/>
      <c r="BO280" s="42"/>
      <c r="BP280" s="42"/>
    </row>
    <row r="281" spans="1:68">
      <c r="BN281" s="42"/>
      <c r="BO281" s="42"/>
      <c r="BP281" s="42"/>
    </row>
    <row r="282" spans="1:68">
      <c r="BN282" s="42"/>
      <c r="BO282" s="42"/>
      <c r="BP282" s="42"/>
    </row>
    <row r="283" spans="1:68">
      <c r="BN283" s="42"/>
      <c r="BO283" s="42"/>
      <c r="BP283" s="42"/>
    </row>
    <row r="284" spans="1:68">
      <c r="BN284" s="42"/>
      <c r="BO284" s="42"/>
      <c r="BP284" s="42"/>
    </row>
    <row r="285" spans="1:68">
      <c r="BN285" s="42"/>
      <c r="BO285" s="42"/>
      <c r="BP285" s="42"/>
    </row>
    <row r="286" spans="1:68">
      <c r="BN286" s="42"/>
      <c r="BO286" s="42"/>
      <c r="BP286" s="42"/>
    </row>
    <row r="287" spans="1:68">
      <c r="BN287" s="42"/>
      <c r="BO287" s="42"/>
      <c r="BP287" s="42"/>
    </row>
    <row r="288" spans="1:68">
      <c r="BN288" s="42"/>
      <c r="BO288" s="42"/>
      <c r="BP288" s="42"/>
    </row>
    <row r="289" spans="66:68">
      <c r="BN289" s="42"/>
      <c r="BO289" s="42"/>
      <c r="BP289" s="42"/>
    </row>
    <row r="290" spans="66:68">
      <c r="BN290" s="42"/>
      <c r="BO290" s="42"/>
      <c r="BP290" s="42"/>
    </row>
    <row r="291" spans="66:68">
      <c r="BN291" s="42"/>
      <c r="BO291" s="42"/>
      <c r="BP291" s="42"/>
    </row>
    <row r="292" spans="66:68">
      <c r="BN292" s="42"/>
      <c r="BO292" s="42"/>
      <c r="BP292" s="42"/>
    </row>
    <row r="293" spans="66:68">
      <c r="BN293" s="42"/>
      <c r="BO293" s="42"/>
      <c r="BP293" s="42"/>
    </row>
    <row r="294" spans="66:68">
      <c r="BN294" s="42"/>
      <c r="BO294" s="42"/>
      <c r="BP294" s="42"/>
    </row>
    <row r="295" spans="66:68">
      <c r="BN295" s="42"/>
      <c r="BO295" s="42"/>
      <c r="BP295" s="42"/>
    </row>
    <row r="296" spans="66:68">
      <c r="BN296" s="42"/>
      <c r="BO296" s="42"/>
      <c r="BP296" s="42"/>
    </row>
    <row r="297" spans="66:68">
      <c r="BN297" s="42"/>
      <c r="BO297" s="42"/>
      <c r="BP297" s="42"/>
    </row>
    <row r="298" spans="66:68">
      <c r="BN298" s="42"/>
      <c r="BO298" s="42"/>
      <c r="BP298" s="42"/>
    </row>
    <row r="299" spans="66:68">
      <c r="BN299" s="42"/>
      <c r="BO299" s="42"/>
      <c r="BP299" s="42"/>
    </row>
    <row r="300" spans="66:68">
      <c r="BN300" s="42"/>
      <c r="BO300" s="42"/>
      <c r="BP300" s="42"/>
    </row>
    <row r="301" spans="66:68">
      <c r="BN301" s="42"/>
      <c r="BO301" s="42"/>
      <c r="BP301" s="42"/>
    </row>
  </sheetData>
  <sheetProtection password="C6F9" sheet="1" objects="1" scenarios="1" selectLockedCells="1"/>
  <mergeCells count="19">
    <mergeCell ref="A19:E19"/>
    <mergeCell ref="J19:N19"/>
    <mergeCell ref="BN1:BP1"/>
    <mergeCell ref="A16:N16"/>
    <mergeCell ref="A17:N17"/>
    <mergeCell ref="O14:P15"/>
    <mergeCell ref="O13:P13"/>
    <mergeCell ref="O10:P11"/>
    <mergeCell ref="O12:P12"/>
    <mergeCell ref="A32:B32"/>
    <mergeCell ref="A33:B33"/>
    <mergeCell ref="A34:B34"/>
    <mergeCell ref="AV62:AW62"/>
    <mergeCell ref="J20:L20"/>
    <mergeCell ref="J27:L27"/>
    <mergeCell ref="M27:N27"/>
    <mergeCell ref="A30:G30"/>
    <mergeCell ref="A31:B31"/>
    <mergeCell ref="O29:P31"/>
  </mergeCells>
  <conditionalFormatting sqref="M35">
    <cfRule type="cellIs" dxfId="1" priority="2" operator="lessThan">
      <formula>45</formula>
    </cfRule>
  </conditionalFormatting>
  <conditionalFormatting sqref="M36">
    <cfRule type="cellIs" dxfId="0" priority="1" operator="greaterThan">
      <formula>-10</formula>
    </cfRule>
  </conditionalFormatting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3BE5B-6858-45E1-BFE4-290232C4ACD4}"/>
</file>

<file path=customXml/itemProps2.xml><?xml version="1.0" encoding="utf-8"?>
<ds:datastoreItem xmlns:ds="http://schemas.openxmlformats.org/officeDocument/2006/customXml" ds:itemID="{D7BACA32-C572-45C8-8CB6-8CC9167C84A9}"/>
</file>

<file path=customXml/itemProps3.xml><?xml version="1.0" encoding="utf-8"?>
<ds:datastoreItem xmlns:ds="http://schemas.openxmlformats.org/officeDocument/2006/customXml" ds:itemID="{9BF3F595-B23B-464A-9BF1-3C9F904ED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Power Loss</vt:lpstr>
      <vt:lpstr>Efficiency Summary</vt:lpstr>
      <vt:lpstr>Compensation</vt:lpstr>
      <vt:lpstr>_Cap1</vt:lpstr>
      <vt:lpstr>_cap2</vt:lpstr>
      <vt:lpstr>_Cfb1</vt:lpstr>
      <vt:lpstr>_Cfb2</vt:lpstr>
      <vt:lpstr>_res1</vt:lpstr>
      <vt:lpstr>_Rfb1</vt:lpstr>
      <vt:lpstr>_Rfb2</vt:lpstr>
      <vt:lpstr>Cap</vt:lpstr>
      <vt:lpstr>D</vt:lpstr>
      <vt:lpstr>DCR</vt:lpstr>
      <vt:lpstr>Dmax</vt:lpstr>
      <vt:lpstr>EA_BW</vt:lpstr>
      <vt:lpstr>EA_DC</vt:lpstr>
      <vt:lpstr>Efficiency</vt:lpstr>
      <vt:lpstr>ESR</vt:lpstr>
      <vt:lpstr>F0</vt:lpstr>
      <vt:lpstr>Fc</vt:lpstr>
      <vt:lpstr>Fm</vt:lpstr>
      <vt:lpstr>Fs</vt:lpstr>
      <vt:lpstr>Fstart</vt:lpstr>
      <vt:lpstr>Fstep</vt:lpstr>
      <vt:lpstr>Fstop</vt:lpstr>
      <vt:lpstr>Gdo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Q</vt:lpstr>
      <vt:lpstr>Qn</vt:lpstr>
      <vt:lpstr>Roerr</vt:lpstr>
      <vt:lpstr>Ron_l</vt:lpstr>
      <vt:lpstr>Ron_u</vt:lpstr>
      <vt:lpstr>Rout</vt:lpstr>
      <vt:lpstr>RT</vt:lpstr>
      <vt:lpstr>Se</vt:lpstr>
      <vt:lpstr>Sn</vt:lpstr>
      <vt:lpstr>Step</vt:lpstr>
      <vt:lpstr>Tloss</vt:lpstr>
      <vt:lpstr>VFB</vt:lpstr>
      <vt:lpstr>Vin</vt:lpstr>
      <vt:lpstr>Vout</vt:lpstr>
      <vt:lpstr>wn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Tu Bui</cp:lastModifiedBy>
  <dcterms:created xsi:type="dcterms:W3CDTF">2017-12-13T19:19:46Z</dcterms:created>
  <dcterms:modified xsi:type="dcterms:W3CDTF">2022-09-30T17:33:19Z</dcterms:modified>
</cp:coreProperties>
</file>